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0" yWindow="32760" windowWidth="19200" windowHeight="6240" tabRatio="721" activeTab="0"/>
  </bookViews>
  <sheets>
    <sheet name="inputs and results" sheetId="1" r:id="rId1"/>
    <sheet name="changes" sheetId="2" state="hidden" r:id="rId2"/>
    <sheet name="Sheet1" sheetId="3" state="hidden" r:id="rId3"/>
    <sheet name="Variable information" sheetId="4" state="hidden" r:id="rId4"/>
    <sheet name="factors - classic" sheetId="5" state="hidden" r:id="rId5"/>
    <sheet name="early retirement" sheetId="6" state="hidden" r:id="rId6"/>
    <sheet name="calcs - classic" sheetId="7" state="hidden" r:id="rId7"/>
  </sheets>
  <definedNames>
    <definedName name="retage2">'factors - classic'!$N$6:$N$32</definedName>
  </definedNames>
  <calcPr fullCalcOnLoad="1"/>
</workbook>
</file>

<file path=xl/comments1.xml><?xml version="1.0" encoding="utf-8"?>
<comments xmlns="http://schemas.openxmlformats.org/spreadsheetml/2006/main">
  <authors>
    <author>Julia Wood</author>
  </authors>
  <commentList>
    <comment ref="M23" authorId="0">
      <text>
        <r>
          <rPr>
            <b/>
            <sz val="8"/>
            <rFont val="Tahoma"/>
            <family val="2"/>
          </rPr>
          <t>Julia Wood:</t>
        </r>
        <r>
          <rPr>
            <sz val="8"/>
            <rFont val="Tahoma"/>
            <family val="2"/>
          </rPr>
          <t xml:space="preserve">
1= target pension
2= how much will it cost</t>
        </r>
      </text>
    </comment>
  </commentList>
</comments>
</file>

<file path=xl/comments4.xml><?xml version="1.0" encoding="utf-8"?>
<comments xmlns="http://schemas.openxmlformats.org/spreadsheetml/2006/main">
  <authors>
    <author>Julia Wood</author>
    <author>Julia Wood </author>
  </authors>
  <commentList>
    <comment ref="B4" authorId="0">
      <text>
        <r>
          <rPr>
            <b/>
            <sz val="8"/>
            <rFont val="Tahoma"/>
            <family val="2"/>
          </rPr>
          <t>Julia Wood:</t>
        </r>
        <r>
          <rPr>
            <sz val="8"/>
            <rFont val="Tahoma"/>
            <family val="2"/>
          </rPr>
          <t xml:space="preserve">
Use a date one month from now if you are giving a member a quote for a lump sum purchase.  The quote will reflect the member's age at that date, but today's AMC.
</t>
        </r>
      </text>
    </comment>
    <comment ref="B8" authorId="1">
      <text>
        <r>
          <rPr>
            <b/>
            <sz val="8"/>
            <rFont val="Tahoma"/>
            <family val="2"/>
          </rPr>
          <t>Julia Wood :</t>
        </r>
        <r>
          <rPr>
            <sz val="8"/>
            <rFont val="Tahoma"/>
            <family val="2"/>
          </rPr>
          <t xml:space="preserve">
Month corresponding to AMC yield</t>
        </r>
      </text>
    </comment>
  </commentList>
</comments>
</file>

<file path=xl/comments7.xml><?xml version="1.0" encoding="utf-8"?>
<comments xmlns="http://schemas.openxmlformats.org/spreadsheetml/2006/main">
  <authors>
    <author>Julia Wood</author>
    <author>Julia Wood </author>
    <author>Scott McGee</author>
  </authors>
  <commentList>
    <comment ref="D8" authorId="0">
      <text>
        <r>
          <rPr>
            <b/>
            <sz val="8"/>
            <rFont val="Tahoma"/>
            <family val="2"/>
          </rPr>
          <t>Julia Wood:</t>
        </r>
        <r>
          <rPr>
            <sz val="8"/>
            <rFont val="Tahoma"/>
            <family val="2"/>
          </rPr>
          <t xml:space="preserve">
start of next scheme year</t>
        </r>
      </text>
    </comment>
    <comment ref="D9" authorId="0">
      <text>
        <r>
          <rPr>
            <b/>
            <sz val="8"/>
            <rFont val="Tahoma"/>
            <family val="2"/>
          </rPr>
          <t>Julia Wood:</t>
        </r>
        <r>
          <rPr>
            <sz val="8"/>
            <rFont val="Tahoma"/>
            <family val="2"/>
          </rPr>
          <t xml:space="preserve">
age at next 1 April - for monthly contributions</t>
        </r>
      </text>
    </comment>
    <comment ref="D11" authorId="0">
      <text>
        <r>
          <rPr>
            <b/>
            <sz val="8"/>
            <rFont val="Tahoma"/>
            <family val="2"/>
          </rPr>
          <t>Julia Wood:</t>
        </r>
        <r>
          <rPr>
            <sz val="8"/>
            <rFont val="Tahoma"/>
            <family val="2"/>
          </rPr>
          <t xml:space="preserve">
the column for the appropriate periodical contribution rates</t>
        </r>
      </text>
    </comment>
    <comment ref="A13" authorId="0">
      <text>
        <r>
          <rPr>
            <b/>
            <sz val="8"/>
            <rFont val="Tahoma"/>
            <family val="2"/>
          </rPr>
          <t>Julia Wood:</t>
        </r>
        <r>
          <rPr>
            <sz val="8"/>
            <rFont val="Tahoma"/>
            <family val="2"/>
          </rPr>
          <t xml:space="preserve">
lump sum factors</t>
        </r>
      </text>
    </comment>
    <comment ref="B10" authorId="0">
      <text>
        <r>
          <rPr>
            <b/>
            <sz val="8"/>
            <rFont val="Tahoma"/>
            <family val="2"/>
          </rPr>
          <t>Julia Wood:</t>
        </r>
        <r>
          <rPr>
            <sz val="8"/>
            <rFont val="Tahoma"/>
            <family val="2"/>
          </rPr>
          <t xml:space="preserve">
use this for lump sum - no of Aprils to 65 (from previous 1 April)</t>
        </r>
      </text>
    </comment>
    <comment ref="D10" authorId="0">
      <text>
        <r>
          <rPr>
            <b/>
            <sz val="8"/>
            <rFont val="Tahoma"/>
            <family val="2"/>
          </rPr>
          <t>Julia Wood:</t>
        </r>
        <r>
          <rPr>
            <sz val="8"/>
            <rFont val="Tahoma"/>
            <family val="2"/>
          </rPr>
          <t xml:space="preserve">
use this for periodicals</t>
        </r>
      </text>
    </comment>
    <comment ref="B3" authorId="0">
      <text>
        <r>
          <rPr>
            <b/>
            <sz val="8"/>
            <rFont val="Tahoma"/>
            <family val="2"/>
          </rPr>
          <t>Julia Wood:</t>
        </r>
        <r>
          <rPr>
            <sz val="8"/>
            <rFont val="Tahoma"/>
            <family val="2"/>
          </rPr>
          <t xml:space="preserve">
self or self+partner</t>
        </r>
      </text>
    </comment>
    <comment ref="B2" authorId="0">
      <text>
        <r>
          <rPr>
            <b/>
            <sz val="8"/>
            <rFont val="Tahoma"/>
            <family val="2"/>
          </rPr>
          <t>Julia Wood:</t>
        </r>
        <r>
          <rPr>
            <sz val="8"/>
            <rFont val="Tahoma"/>
            <family val="2"/>
          </rPr>
          <t xml:space="preserve">
lump sum or periodical</t>
        </r>
      </text>
    </comment>
    <comment ref="B4" authorId="0">
      <text>
        <r>
          <rPr>
            <b/>
            <sz val="8"/>
            <rFont val="Tahoma"/>
            <family val="2"/>
          </rPr>
          <t>Julia Wood:</t>
        </r>
        <r>
          <rPr>
            <sz val="8"/>
            <rFont val="Tahoma"/>
            <family val="2"/>
          </rPr>
          <t xml:space="preserve">
target pension or defined contribution</t>
        </r>
      </text>
    </comment>
    <comment ref="C2" authorId="0">
      <text>
        <r>
          <rPr>
            <b/>
            <sz val="8"/>
            <rFont val="Tahoma"/>
            <family val="2"/>
          </rPr>
          <t>Julia Wood:</t>
        </r>
        <r>
          <rPr>
            <sz val="8"/>
            <rFont val="Tahoma"/>
            <family val="2"/>
          </rPr>
          <t xml:space="preserve">
no of years for monthly contributions</t>
        </r>
      </text>
    </comment>
    <comment ref="E11" authorId="1">
      <text>
        <r>
          <rPr>
            <b/>
            <sz val="8"/>
            <rFont val="Tahoma"/>
            <family val="2"/>
          </rPr>
          <t>Julia Wood :</t>
        </r>
        <r>
          <rPr>
            <sz val="8"/>
            <rFont val="Tahoma"/>
            <family val="2"/>
          </rPr>
          <t xml:space="preserve">
column for lump sum rate</t>
        </r>
      </text>
    </comment>
    <comment ref="D22" authorId="1">
      <text>
        <r>
          <rPr>
            <b/>
            <sz val="8"/>
            <rFont val="Tahoma"/>
            <family val="2"/>
          </rPr>
          <t>Julia Wood :</t>
        </r>
        <r>
          <rPr>
            <sz val="8"/>
            <rFont val="Tahoma"/>
            <family val="2"/>
          </rPr>
          <t xml:space="preserve">
cumulative pension purchased with £1pa</t>
        </r>
      </text>
    </comment>
    <comment ref="G35" authorId="1">
      <text>
        <r>
          <rPr>
            <b/>
            <sz val="8"/>
            <rFont val="Tahoma"/>
            <family val="2"/>
          </rPr>
          <t>Julia Wood :</t>
        </r>
        <r>
          <rPr>
            <sz val="8"/>
            <rFont val="Tahoma"/>
            <family val="2"/>
          </rPr>
          <t xml:space="preserve">
pension purchased with £1pa</t>
        </r>
      </text>
    </comment>
    <comment ref="B8" authorId="0">
      <text>
        <r>
          <rPr>
            <b/>
            <sz val="8"/>
            <rFont val="Tahoma"/>
            <family val="2"/>
          </rPr>
          <t>Julia Wood:</t>
        </r>
        <r>
          <rPr>
            <sz val="8"/>
            <rFont val="Tahoma"/>
            <family val="2"/>
          </rPr>
          <t xml:space="preserve">
At present, this needs to be input.  For working version, will show today's date</t>
        </r>
      </text>
    </comment>
    <comment ref="G2" authorId="0">
      <text>
        <r>
          <rPr>
            <b/>
            <sz val="8"/>
            <rFont val="Tahoma"/>
            <family val="2"/>
          </rPr>
          <t>Julia Wood:</t>
        </r>
        <r>
          <rPr>
            <sz val="8"/>
            <rFont val="Tahoma"/>
            <family val="2"/>
          </rPr>
          <t xml:space="preserve">
need to input this</t>
        </r>
      </text>
    </comment>
    <comment ref="F5" authorId="0">
      <text>
        <r>
          <rPr>
            <b/>
            <sz val="8"/>
            <rFont val="Tahoma"/>
            <family val="2"/>
          </rPr>
          <t>Julia Wood:</t>
        </r>
        <r>
          <rPr>
            <sz val="8"/>
            <rFont val="Tahoma"/>
            <family val="2"/>
          </rPr>
          <t xml:space="preserve">
later of 1 Oct 07 and today - used for testing age</t>
        </r>
      </text>
    </comment>
    <comment ref="A29" authorId="0">
      <text>
        <r>
          <rPr>
            <b/>
            <sz val="8"/>
            <rFont val="Tahoma"/>
            <family val="2"/>
          </rPr>
          <t>Julia Wood:</t>
        </r>
        <r>
          <rPr>
            <sz val="8"/>
            <rFont val="Tahoma"/>
            <family val="2"/>
          </rPr>
          <t xml:space="preserve">
Error message if contributions too high</t>
        </r>
      </text>
    </comment>
    <comment ref="A30" authorId="0">
      <text>
        <r>
          <rPr>
            <b/>
            <sz val="8"/>
            <rFont val="Tahoma"/>
            <family val="2"/>
          </rPr>
          <t>Julia Wood:</t>
        </r>
        <r>
          <rPr>
            <sz val="8"/>
            <rFont val="Tahoma"/>
            <family val="2"/>
          </rPr>
          <t xml:space="preserve">
Warning message if contributions go beyond 65</t>
        </r>
      </text>
    </comment>
    <comment ref="C6" authorId="0">
      <text>
        <r>
          <rPr>
            <b/>
            <sz val="8"/>
            <rFont val="Tahoma"/>
            <family val="2"/>
          </rPr>
          <t>Julia Wood:</t>
        </r>
        <r>
          <rPr>
            <sz val="8"/>
            <rFont val="Tahoma"/>
            <family val="2"/>
          </rPr>
          <t xml:space="preserve">
Age chosen to retire</t>
        </r>
      </text>
    </comment>
    <comment ref="D23" authorId="0">
      <text>
        <r>
          <rPr>
            <b/>
            <sz val="8"/>
            <rFont val="Tahoma"/>
            <family val="2"/>
          </rPr>
          <t>Julia Wood:</t>
        </r>
        <r>
          <rPr>
            <sz val="8"/>
            <rFont val="Tahoma"/>
            <family val="2"/>
          </rPr>
          <t xml:space="preserve">
age when contributions cease</t>
        </r>
      </text>
    </comment>
    <comment ref="D24" authorId="0">
      <text>
        <r>
          <rPr>
            <b/>
            <sz val="8"/>
            <rFont val="Tahoma"/>
            <family val="2"/>
          </rPr>
          <t>Julia Wood:</t>
        </r>
        <r>
          <rPr>
            <sz val="8"/>
            <rFont val="Tahoma"/>
            <family val="2"/>
          </rPr>
          <t xml:space="preserve">
years after ceasing contributions (or 60 if later) and drawing pension</t>
        </r>
      </text>
    </comment>
    <comment ref="A83" authorId="0">
      <text>
        <r>
          <rPr>
            <b/>
            <sz val="8"/>
            <rFont val="Tahoma"/>
            <family val="2"/>
          </rPr>
          <t>Julia Wood:</t>
        </r>
        <r>
          <rPr>
            <sz val="8"/>
            <rFont val="Tahoma"/>
            <family val="2"/>
          </rPr>
          <t xml:space="preserve">
warning message</t>
        </r>
      </text>
    </comment>
    <comment ref="H8" authorId="1">
      <text>
        <r>
          <rPr>
            <b/>
            <sz val="8"/>
            <rFont val="Tahoma"/>
            <family val="2"/>
          </rPr>
          <t>Julia Wood :</t>
        </r>
        <r>
          <rPr>
            <sz val="8"/>
            <rFont val="Tahoma"/>
            <family val="2"/>
          </rPr>
          <t xml:space="preserve">
age in years and months is needed for the actuarial adjustment table</t>
        </r>
      </text>
    </comment>
    <comment ref="H10" authorId="1">
      <text>
        <r>
          <rPr>
            <b/>
            <sz val="8"/>
            <rFont val="Tahoma"/>
            <family val="2"/>
          </rPr>
          <t>Julia Wood :</t>
        </r>
        <r>
          <rPr>
            <sz val="8"/>
            <rFont val="Tahoma"/>
            <family val="2"/>
          </rPr>
          <t xml:space="preserve">
complete months</t>
        </r>
      </text>
    </comment>
    <comment ref="D6" authorId="1">
      <text>
        <r>
          <rPr>
            <b/>
            <sz val="8"/>
            <rFont val="Tahoma"/>
            <family val="2"/>
          </rPr>
          <t>Julia Wood :</t>
        </r>
        <r>
          <rPr>
            <sz val="8"/>
            <rFont val="Tahoma"/>
            <family val="2"/>
          </rPr>
          <t xml:space="preserve">
only has a value where they have chosen to enter retirement date rather than age.</t>
        </r>
      </text>
    </comment>
    <comment ref="J34" authorId="1">
      <text>
        <r>
          <rPr>
            <b/>
            <sz val="8"/>
            <rFont val="Tahoma"/>
            <family val="2"/>
          </rPr>
          <t>Julia Wood :</t>
        </r>
        <r>
          <rPr>
            <sz val="8"/>
            <rFont val="Tahoma"/>
            <family val="2"/>
          </rPr>
          <t xml:space="preserve">
this column allows for the final year not being a full one.  Only affects the calc if the monthly contributions go into the final year</t>
        </r>
      </text>
    </comment>
    <comment ref="J10" authorId="1">
      <text>
        <r>
          <rPr>
            <b/>
            <sz val="8"/>
            <rFont val="Tahoma"/>
            <family val="2"/>
          </rPr>
          <t>Julia Wood :</t>
        </r>
        <r>
          <rPr>
            <sz val="8"/>
            <rFont val="Tahoma"/>
            <family val="2"/>
          </rPr>
          <t xml:space="preserve">
used in calc of age at retirement - will be negative if month of departure is earlier than birthday month</t>
        </r>
      </text>
    </comment>
    <comment ref="C15" authorId="2">
      <text>
        <r>
          <rPr>
            <b/>
            <sz val="9"/>
            <rFont val="Tahoma"/>
            <family val="2"/>
          </rPr>
          <t>Scott McGee:</t>
        </r>
        <r>
          <rPr>
            <sz val="9"/>
            <rFont val="Tahoma"/>
            <family val="2"/>
          </rPr>
          <t xml:space="preserve">
Original Formula for Exact  Factor.</t>
        </r>
      </text>
    </comment>
    <comment ref="F11" authorId="1">
      <text>
        <r>
          <rPr>
            <b/>
            <sz val="8"/>
            <rFont val="Tahoma"/>
            <family val="2"/>
          </rPr>
          <t>Julia Wood :</t>
        </r>
        <r>
          <rPr>
            <sz val="8"/>
            <rFont val="Tahoma"/>
            <family val="2"/>
          </rPr>
          <t xml:space="preserve">
column for lump sum rate</t>
        </r>
      </text>
    </comment>
    <comment ref="E21" authorId="0">
      <text>
        <r>
          <rPr>
            <b/>
            <sz val="8"/>
            <rFont val="Tahoma"/>
            <family val="2"/>
          </rPr>
          <t>Julia Wood:</t>
        </r>
        <r>
          <rPr>
            <sz val="8"/>
            <rFont val="Tahoma"/>
            <family val="2"/>
          </rPr>
          <t xml:space="preserve">
this is adjusted for late or early retirement
SM: =D21*D22*E32
Previous logic for interpolation
Second Logic Change:
=D21/ROUND(B19,2)*C2</t>
        </r>
      </text>
    </comment>
    <comment ref="E32" authorId="1">
      <text>
        <r>
          <rPr>
            <b/>
            <sz val="8"/>
            <rFont val="Tahoma"/>
            <family val="2"/>
          </rPr>
          <t>Julia Wood :</t>
        </r>
        <r>
          <rPr>
            <sz val="8"/>
            <rFont val="Tahoma"/>
            <family val="2"/>
          </rPr>
          <t xml:space="preserve">
only includes age addition going beyond the end of the payment period - other age addition is included in costings
was =1+(E30*$G$4)-(1-I4)</t>
        </r>
      </text>
    </comment>
    <comment ref="F32" authorId="2">
      <text>
        <r>
          <rPr>
            <b/>
            <sz val="9"/>
            <rFont val="Tahoma"/>
            <family val="2"/>
          </rPr>
          <t>Scott McGee:</t>
        </r>
        <r>
          <rPr>
            <sz val="9"/>
            <rFont val="Tahoma"/>
            <family val="2"/>
          </rPr>
          <t xml:space="preserve">
was
=1+(F30*$G$4)-(1-I4)</t>
        </r>
      </text>
    </comment>
  </commentList>
</comments>
</file>

<file path=xl/sharedStrings.xml><?xml version="1.0" encoding="utf-8"?>
<sst xmlns="http://schemas.openxmlformats.org/spreadsheetml/2006/main" count="168" uniqueCount="142">
  <si>
    <t>Age last birthday</t>
  </si>
  <si>
    <t>Male</t>
  </si>
  <si>
    <t>female</t>
  </si>
  <si>
    <t>DOB</t>
  </si>
  <si>
    <t>No of 1 Aprils to PA</t>
  </si>
  <si>
    <t>pension age</t>
  </si>
  <si>
    <t>factor below</t>
  </si>
  <si>
    <t>factor above</t>
  </si>
  <si>
    <t>exact factor</t>
  </si>
  <si>
    <t>Aprils factor</t>
  </si>
  <si>
    <t>AMC adjustment</t>
  </si>
  <si>
    <t>lump sum rate</t>
  </si>
  <si>
    <t>m/f</t>
  </si>
  <si>
    <t>required level of contribution</t>
  </si>
  <si>
    <t>per month</t>
  </si>
  <si>
    <t>annual pension</t>
  </si>
  <si>
    <t>lump sum</t>
  </si>
  <si>
    <t>pa</t>
  </si>
  <si>
    <t>Year</t>
  </si>
  <si>
    <t>Aprils</t>
  </si>
  <si>
    <t>rate</t>
  </si>
  <si>
    <t>periodicals</t>
  </si>
  <si>
    <t>years</t>
  </si>
  <si>
    <t>cum purchase</t>
  </si>
  <si>
    <t>About you</t>
  </si>
  <si>
    <t>male</t>
  </si>
  <si>
    <t>Lump sum</t>
  </si>
  <si>
    <t>required amount of pension 1</t>
  </si>
  <si>
    <t>required pension 2</t>
  </si>
  <si>
    <t>lump sum rate before AMC</t>
  </si>
  <si>
    <t>Max</t>
  </si>
  <si>
    <t>HMT max</t>
  </si>
  <si>
    <t>Chosen contribution type</t>
  </si>
  <si>
    <t>Chosen pension</t>
  </si>
  <si>
    <t>Chosen calculation type</t>
  </si>
  <si>
    <t>Monetary amount input</t>
  </si>
  <si>
    <t>AMC</t>
  </si>
  <si>
    <t xml:space="preserve">Age </t>
  </si>
  <si>
    <t>Yield</t>
  </si>
  <si>
    <t>no of 1 Aprils to NPA</t>
  </si>
  <si>
    <t>unisex</t>
  </si>
  <si>
    <t>monthly contributions</t>
  </si>
  <si>
    <t xml:space="preserve">a year </t>
  </si>
  <si>
    <t xml:space="preserve">Either: </t>
  </si>
  <si>
    <t xml:space="preserve">Or: </t>
  </si>
  <si>
    <t>Pension for self + partner</t>
  </si>
  <si>
    <t>Periodicals calc</t>
  </si>
  <si>
    <t>Lump sum calcs</t>
  </si>
  <si>
    <t>AMC rate</t>
  </si>
  <si>
    <t>Quote date</t>
  </si>
  <si>
    <t>AMC calc</t>
  </si>
  <si>
    <t>column 1</t>
  </si>
  <si>
    <t>pension</t>
  </si>
  <si>
    <t>Required answer</t>
  </si>
  <si>
    <t>Age at quote date</t>
  </si>
  <si>
    <t>age at quote</t>
  </si>
  <si>
    <t>as at date</t>
  </si>
  <si>
    <t>Note: Need to update AMC and Quote Date</t>
  </si>
  <si>
    <t>%</t>
  </si>
  <si>
    <t>self + partner</t>
  </si>
  <si>
    <r>
      <t xml:space="preserve">Pension for self </t>
    </r>
    <r>
      <rPr>
        <b/>
        <i/>
        <sz val="10"/>
        <rFont val="Arial"/>
        <family val="2"/>
      </rPr>
      <t>(note: this option not available)</t>
    </r>
  </si>
  <si>
    <t>age addition</t>
  </si>
  <si>
    <t>age at end of year</t>
  </si>
  <si>
    <t>late retirement</t>
  </si>
  <si>
    <t>early retirement</t>
  </si>
  <si>
    <t>early ret</t>
  </si>
  <si>
    <t>monthly</t>
  </si>
  <si>
    <t>adjustment</t>
  </si>
  <si>
    <t>Error codes</t>
  </si>
  <si>
    <t xml:space="preserve">Early pension factors </t>
  </si>
  <si>
    <t>Months</t>
  </si>
  <si>
    <t>Age (y)</t>
  </si>
  <si>
    <t>Early lump sum factors</t>
  </si>
  <si>
    <t>LS</t>
  </si>
  <si>
    <t>adjustment to LS</t>
  </si>
  <si>
    <t>Month</t>
  </si>
  <si>
    <t>today</t>
  </si>
  <si>
    <t>your choice</t>
  </si>
  <si>
    <t>Required quote date</t>
  </si>
  <si>
    <t>APACs - please select the quote date you require</t>
  </si>
  <si>
    <t>(drop-down menu)</t>
  </si>
  <si>
    <t>earlier date to use where "today" is before AMC updated</t>
  </si>
  <si>
    <t>AMC yield for quote date</t>
  </si>
  <si>
    <t>AMC yield to use</t>
  </si>
  <si>
    <t>yes</t>
  </si>
  <si>
    <t>enter a date</t>
  </si>
  <si>
    <t>fraction</t>
  </si>
  <si>
    <t>age at retirement</t>
  </si>
  <si>
    <t>months</t>
  </si>
  <si>
    <t>Note: Use AMC rate of 0.00 from July 2012 onwards</t>
  </si>
  <si>
    <r>
      <t xml:space="preserve">AMC rates - </t>
    </r>
    <r>
      <rPr>
        <b/>
        <strike/>
        <sz val="14"/>
        <rFont val="Arial"/>
        <family val="2"/>
      </rPr>
      <t>you must keep this table up to date</t>
    </r>
  </si>
  <si>
    <t>See note</t>
  </si>
  <si>
    <t>Your results</t>
  </si>
  <si>
    <t xml:space="preserve">What is your date of birth? </t>
  </si>
  <si>
    <t xml:space="preserve">What is your gender? </t>
  </si>
  <si>
    <t xml:space="preserve">How much do you want to save? </t>
  </si>
  <si>
    <t xml:space="preserve">How much pension do you want to buy? </t>
  </si>
  <si>
    <t>About your added pension</t>
  </si>
  <si>
    <t xml:space="preserve">How do you want to pay for your added pension? </t>
  </si>
  <si>
    <t xml:space="preserve">At what age do you expect to draw your added pension? </t>
  </si>
  <si>
    <t>The figures shown are an illustration of the current cost of buying added pension.</t>
  </si>
  <si>
    <t>If you increase your pension savings in any year over the Annual Allowance set by HM Revenue &amp; Customs, you may incur a tax charge. For more information, including examples, see the HM Revenue &amp; Customs website: www.hmrc.gov.uk</t>
  </si>
  <si>
    <t>This is a calculated value at today’s rates.</t>
  </si>
  <si>
    <t>Disclaimer:</t>
  </si>
  <si>
    <t>Important notes:</t>
  </si>
  <si>
    <t>Every effort has been made to make this tool as accurate as possible, but in the event of any differences, the regulations will apply. This tool is based on the classic rules current at the time of publication and there is no guarantee that any part of the rules will not change in the future. You should not take anything in this tool as financial advice. You might want to consider contacting an Independent Financial Adviser (IFA) to discuss your retirement planning. You can find tips on finding an IFA by visiting the Financial Conduct Authority website: www.fca.org.uk</t>
  </si>
  <si>
    <t>The cost shown is the gross amount. You will normally get income tax relief on these contributions. If you make your payment through payroll the tax relief will be applied automatically. If you make a lump sum purchase by cheque you will have to claim tax relief from HM Revenue &amp; Customs.</t>
  </si>
  <si>
    <t>As well as providing extra pension for you, added pension will provide an automatic lump sum of 3 times pension plus extra pension for your dependants after your death. The spouse / civil partner pension is usually half your pension.</t>
  </si>
  <si>
    <t>If you have selected monthly contributions, the estimator assumes that these start from the next 1 April and run for a complete number of years.</t>
  </si>
  <si>
    <t>ret ages</t>
  </si>
  <si>
    <t>Added pension estimator -
for members of classic</t>
  </si>
  <si>
    <t>If you want to purchase added pension, the application form is available on the JSS website.</t>
  </si>
  <si>
    <t>Added pension will be adjusted in line with the Consumer Price Index.</t>
  </si>
  <si>
    <t xml:space="preserve">Are you using Research Councils compensation to buy your added pension?  </t>
  </si>
  <si>
    <t xml:space="preserve">lump sum </t>
  </si>
  <si>
    <t>New Perodical Calc</t>
  </si>
  <si>
    <t>Exact Factor</t>
  </si>
  <si>
    <t>Contribution Factor</t>
  </si>
  <si>
    <t>Exact Factor x Contribution Factor</t>
  </si>
  <si>
    <t>Monthly Rate</t>
  </si>
  <si>
    <t>The added pension estimator held on the JSS website uses the latest scheme specific calculation factors. These factors, and therefore the results, may be subject to change in the future.</t>
  </si>
  <si>
    <t>You can normally claim tax relief on contributions of up to 100% of your salary.</t>
  </si>
  <si>
    <t xml:space="preserve">In most circumstances your added pension will come into payment at the same time as your classic pension. If you draw your pension before Normal Pension Age (NPA) it will be reduced for early payment. If you carry on working beyond your NPA, your pension will be increased for late payment. </t>
  </si>
  <si>
    <t>If you have selected to pay contributions over a number of years, the resulting amount of added pension is based on the current age and factors. However, you should be aware that the factors underlying these calculations are reviewed regularly and the cost of this level of pension may change in the future.</t>
  </si>
  <si>
    <t>Changes</t>
  </si>
  <si>
    <t>Amended note 5 to remove reference to pension increased if taken early or late because the calculator does not do this</t>
  </si>
  <si>
    <t>Note 10 amended as per suggestion from Teresa</t>
  </si>
  <si>
    <t>Record of changes made by JSS</t>
  </si>
  <si>
    <t>Please note that if you do not use the most recent version of the added pension estimator then the results will not be valid. The latest estimator is held on the JSS website: https://jsspensions.nerc.ac.uk/</t>
  </si>
  <si>
    <t>FACTORS EFFECTIVE 1 APRIL 2024</t>
  </si>
  <si>
    <t>Factor Table/Serial:</t>
  </si>
  <si>
    <t>1304 / 722</t>
  </si>
  <si>
    <t>1334 / 725</t>
  </si>
  <si>
    <t>Hidden the gender drop down box (set to default value of 'female') - factors are unisex (see factor tables)</t>
  </si>
  <si>
    <t>Calculator for use after 1 Jan 2024</t>
  </si>
  <si>
    <t>Version No</t>
  </si>
  <si>
    <t>Version Date</t>
  </si>
  <si>
    <t>Set 'how many years' for monthly contribution to default to 1</t>
  </si>
  <si>
    <t>Amended pension limit to 7300 in calcs-classic</t>
  </si>
  <si>
    <t xml:space="preserve">Please fill in all of the blue boxes and one of the orange boxes </t>
  </si>
  <si>
    <t>If you have selected monthly contributions, the estimator assumes that these start from the date that your contract starts and run for a complete number of years. You can request to cancel your monthly contributions at any time. Lump sum purchases are assumed to be made on the date of the calculation. You cannot buy added pension by lump sum in your first 12 months of scheme membership.</t>
  </si>
  <si>
    <t>Note 9 amended ref Jo suggestion ref. lump sum purchase date</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</si>
</sst>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809]dd\ mmmm\ yyyy"/>
    <numFmt numFmtId="166" formatCode="&quot;£&quot;#,##0.00"/>
    <numFmt numFmtId="167" formatCode="#,##0.0000"/>
    <numFmt numFmtId="168" formatCode="&quot;£&quot;#,##0.0000"/>
    <numFmt numFmtId="169" formatCode="&quot;£&quot;#,##0"/>
    <numFmt numFmtId="170" formatCode="[$-F800]dddd\,\ mmmm\ dd\,\ yyyy"/>
    <numFmt numFmtId="171" formatCode="mmm\-yyyy"/>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quot;£&quot;#,##0.0"/>
    <numFmt numFmtId="178" formatCode="0.00000"/>
    <numFmt numFmtId="179" formatCode="0.0"/>
    <numFmt numFmtId="180" formatCode="ddmmmyyyy"/>
  </numFmts>
  <fonts count="78">
    <font>
      <sz val="10"/>
      <name val="Arial"/>
      <family val="0"/>
    </font>
    <font>
      <sz val="8"/>
      <name val="Arial"/>
      <family val="2"/>
    </font>
    <font>
      <b/>
      <sz val="10"/>
      <name val="Arial"/>
      <family val="2"/>
    </font>
    <font>
      <sz val="8"/>
      <name val="Tahoma"/>
      <family val="2"/>
    </font>
    <font>
      <b/>
      <sz val="8"/>
      <name val="Tahoma"/>
      <family val="2"/>
    </font>
    <font>
      <b/>
      <i/>
      <sz val="10"/>
      <color indexed="10"/>
      <name val="Arial"/>
      <family val="2"/>
    </font>
    <font>
      <b/>
      <sz val="14"/>
      <name val="Arial"/>
      <family val="2"/>
    </font>
    <font>
      <i/>
      <sz val="10"/>
      <name val="Arial"/>
      <family val="2"/>
    </font>
    <font>
      <b/>
      <sz val="10"/>
      <color indexed="10"/>
      <name val="Arial"/>
      <family val="2"/>
    </font>
    <font>
      <b/>
      <i/>
      <sz val="10"/>
      <name val="Arial"/>
      <family val="2"/>
    </font>
    <font>
      <b/>
      <sz val="12"/>
      <name val="Arial"/>
      <family val="2"/>
    </font>
    <font>
      <u val="single"/>
      <sz val="10"/>
      <color indexed="36"/>
      <name val="Arial"/>
      <family val="2"/>
    </font>
    <font>
      <b/>
      <strike/>
      <sz val="14"/>
      <name val="Arial"/>
      <family val="2"/>
    </font>
    <font>
      <b/>
      <sz val="9"/>
      <name val="Tahoma"/>
      <family val="2"/>
    </font>
    <font>
      <sz val="9"/>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family val="2"/>
    </font>
    <font>
      <b/>
      <sz val="14"/>
      <color indexed="63"/>
      <name val="Arial"/>
      <family val="2"/>
    </font>
    <font>
      <sz val="9"/>
      <color indexed="63"/>
      <name val="Arial"/>
      <family val="2"/>
    </font>
    <font>
      <sz val="12"/>
      <color indexed="63"/>
      <name val="Arial"/>
      <family val="2"/>
    </font>
    <font>
      <b/>
      <sz val="11"/>
      <color indexed="63"/>
      <name val="Arial"/>
      <family val="2"/>
    </font>
    <font>
      <sz val="11"/>
      <color indexed="63"/>
      <name val="Arial"/>
      <family val="2"/>
    </font>
    <font>
      <b/>
      <i/>
      <sz val="11"/>
      <color indexed="63"/>
      <name val="Arial"/>
      <family val="2"/>
    </font>
    <font>
      <i/>
      <sz val="11"/>
      <color indexed="63"/>
      <name val="Arial"/>
      <family val="2"/>
    </font>
    <font>
      <b/>
      <sz val="18"/>
      <color indexed="63"/>
      <name val="Arial"/>
      <family val="2"/>
    </font>
    <font>
      <b/>
      <sz val="11"/>
      <color indexed="10"/>
      <name val="Arial"/>
      <family val="2"/>
    </font>
    <font>
      <sz val="10"/>
      <color indexed="10"/>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4D4E53"/>
      <name val="Arial"/>
      <family val="2"/>
    </font>
    <font>
      <b/>
      <sz val="14"/>
      <color rgb="FF4D4E53"/>
      <name val="Arial"/>
      <family val="2"/>
    </font>
    <font>
      <sz val="9"/>
      <color rgb="FF4D4E53"/>
      <name val="Arial"/>
      <family val="2"/>
    </font>
    <font>
      <sz val="12"/>
      <color rgb="FF4D4E53"/>
      <name val="Arial"/>
      <family val="2"/>
    </font>
    <font>
      <b/>
      <sz val="11"/>
      <color rgb="FF4D4E53"/>
      <name val="Arial"/>
      <family val="2"/>
    </font>
    <font>
      <sz val="11"/>
      <color rgb="FF4D4E53"/>
      <name val="Arial"/>
      <family val="2"/>
    </font>
    <font>
      <b/>
      <i/>
      <sz val="11"/>
      <color rgb="FF4D4E53"/>
      <name val="Arial"/>
      <family val="2"/>
    </font>
    <font>
      <i/>
      <sz val="11"/>
      <color rgb="FF4D4E53"/>
      <name val="Arial"/>
      <family val="2"/>
    </font>
    <font>
      <b/>
      <sz val="18"/>
      <color rgb="FF4D4E53"/>
      <name val="Arial"/>
      <family val="2"/>
    </font>
    <font>
      <b/>
      <sz val="11"/>
      <color rgb="FFFF0000"/>
      <name val="Arial"/>
      <family val="2"/>
    </font>
    <font>
      <sz val="10"/>
      <color rgb="FFFF0000"/>
      <name val="Arial"/>
      <family val="2"/>
    </font>
    <font>
      <sz val="10"/>
      <color rgb="FF000000"/>
      <name val="Arial"/>
      <family val="2"/>
    </font>
    <font>
      <b/>
      <sz val="10"/>
      <color rgb="FFFF0000"/>
      <name val="Arial"/>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rgb="FFD9E7F6"/>
        <bgColor indexed="64"/>
      </patternFill>
    </fill>
    <fill>
      <patternFill patternType="solid">
        <fgColor rgb="FFFAAF5B"/>
        <bgColor indexed="64"/>
      </patternFill>
    </fill>
    <fill>
      <patternFill patternType="solid">
        <fgColor rgb="FF92D1CD"/>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ck">
        <color rgb="FF4D4E53"/>
      </bottom>
    </border>
    <border>
      <left>
        <color indexed="63"/>
      </left>
      <right>
        <color indexed="63"/>
      </right>
      <top>
        <color indexed="63"/>
      </top>
      <bottom style="thick"/>
    </border>
    <border>
      <left>
        <color indexed="63"/>
      </left>
      <right>
        <color indexed="63"/>
      </right>
      <top style="thick"/>
      <bottom>
        <color indexed="63"/>
      </bottom>
    </border>
    <border>
      <left/>
      <right style="medium"/>
      <top/>
      <bottom/>
    </border>
    <border>
      <left/>
      <right style="medium"/>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1" fillId="0" borderId="0" applyNumberFormat="0" applyFill="0" applyBorder="0" applyAlignment="0" applyProtection="0"/>
    <xf numFmtId="0" fontId="52" fillId="28"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1" applyNumberFormat="0" applyAlignment="0" applyProtection="0"/>
    <xf numFmtId="0" fontId="58" fillId="0" borderId="6" applyNumberFormat="0" applyFill="0" applyAlignment="0" applyProtection="0"/>
    <xf numFmtId="0" fontId="59" fillId="30" borderId="0" applyNumberFormat="0" applyBorder="0" applyAlignment="0" applyProtection="0"/>
    <xf numFmtId="0" fontId="46" fillId="0" borderId="0">
      <alignment/>
      <protection/>
    </xf>
    <xf numFmtId="0" fontId="0" fillId="31" borderId="7" applyNumberFormat="0" applyFont="0" applyAlignment="0" applyProtection="0"/>
    <xf numFmtId="0" fontId="60" fillId="2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76">
    <xf numFmtId="0" fontId="0" fillId="0" borderId="0" xfId="0" applyAlignment="1">
      <alignment/>
    </xf>
    <xf numFmtId="0" fontId="0" fillId="0" borderId="0" xfId="0" applyAlignment="1">
      <alignment wrapText="1"/>
    </xf>
    <xf numFmtId="164" fontId="0" fillId="0" borderId="0" xfId="0" applyNumberFormat="1" applyAlignment="1">
      <alignment/>
    </xf>
    <xf numFmtId="0" fontId="0" fillId="32" borderId="0" xfId="0" applyFill="1" applyAlignment="1">
      <alignment/>
    </xf>
    <xf numFmtId="14" fontId="0" fillId="32" borderId="0" xfId="0" applyNumberFormat="1" applyFill="1" applyAlignment="1">
      <alignment/>
    </xf>
    <xf numFmtId="14" fontId="0" fillId="0" borderId="0" xfId="0" applyNumberFormat="1" applyAlignment="1">
      <alignment/>
    </xf>
    <xf numFmtId="164" fontId="0" fillId="32" borderId="0" xfId="0" applyNumberFormat="1" applyFill="1" applyAlignment="1">
      <alignment/>
    </xf>
    <xf numFmtId="166" fontId="0" fillId="0" borderId="0" xfId="0" applyNumberFormat="1" applyAlignment="1">
      <alignment/>
    </xf>
    <xf numFmtId="166" fontId="0" fillId="32" borderId="0" xfId="0" applyNumberFormat="1" applyFill="1" applyAlignment="1">
      <alignment/>
    </xf>
    <xf numFmtId="0" fontId="0" fillId="0" borderId="0" xfId="0" applyFill="1" applyAlignment="1">
      <alignment/>
    </xf>
    <xf numFmtId="3" fontId="0" fillId="32" borderId="0" xfId="0" applyNumberFormat="1" applyFill="1" applyAlignment="1">
      <alignment/>
    </xf>
    <xf numFmtId="0" fontId="2" fillId="0" borderId="0" xfId="0" applyFont="1" applyAlignment="1">
      <alignment/>
    </xf>
    <xf numFmtId="167" fontId="0" fillId="0" borderId="0" xfId="0" applyNumberFormat="1" applyAlignment="1">
      <alignment/>
    </xf>
    <xf numFmtId="164" fontId="0" fillId="0" borderId="0" xfId="0" applyNumberFormat="1" applyFill="1" applyAlignment="1">
      <alignment/>
    </xf>
    <xf numFmtId="9" fontId="0" fillId="0" borderId="0" xfId="0" applyNumberFormat="1" applyAlignment="1">
      <alignment/>
    </xf>
    <xf numFmtId="0" fontId="5" fillId="0" borderId="0" xfId="0" applyFont="1" applyAlignment="1">
      <alignment/>
    </xf>
    <xf numFmtId="169" fontId="0" fillId="0" borderId="0" xfId="0" applyNumberFormat="1" applyAlignment="1">
      <alignment/>
    </xf>
    <xf numFmtId="14" fontId="0" fillId="4" borderId="0" xfId="0" applyNumberFormat="1" applyFill="1" applyAlignment="1">
      <alignment/>
    </xf>
    <xf numFmtId="164" fontId="0" fillId="4" borderId="0" xfId="0" applyNumberFormat="1" applyFill="1" applyAlignment="1">
      <alignment/>
    </xf>
    <xf numFmtId="166" fontId="0" fillId="0" borderId="0" xfId="0" applyNumberFormat="1" applyFill="1" applyAlignment="1">
      <alignment/>
    </xf>
    <xf numFmtId="166" fontId="0" fillId="33" borderId="0" xfId="0" applyNumberFormat="1" applyFill="1" applyAlignment="1">
      <alignment/>
    </xf>
    <xf numFmtId="166" fontId="0" fillId="34" borderId="0" xfId="0" applyNumberFormat="1" applyFill="1" applyAlignment="1">
      <alignment/>
    </xf>
    <xf numFmtId="2" fontId="0" fillId="0" borderId="0" xfId="0" applyNumberFormat="1" applyAlignment="1">
      <alignment/>
    </xf>
    <xf numFmtId="164" fontId="0" fillId="0" borderId="0" xfId="0" applyNumberFormat="1" applyFill="1" applyBorder="1" applyAlignment="1">
      <alignment/>
    </xf>
    <xf numFmtId="14" fontId="0" fillId="0" borderId="0" xfId="0" applyNumberFormat="1" applyFill="1" applyAlignment="1">
      <alignment/>
    </xf>
    <xf numFmtId="0" fontId="8" fillId="0" borderId="0" xfId="0" applyFont="1" applyAlignment="1">
      <alignment/>
    </xf>
    <xf numFmtId="14" fontId="0" fillId="10" borderId="10" xfId="0" applyNumberFormat="1" applyFill="1" applyBorder="1" applyAlignment="1" applyProtection="1">
      <alignment/>
      <protection/>
    </xf>
    <xf numFmtId="2" fontId="0" fillId="32" borderId="11" xfId="0" applyNumberFormat="1" applyFill="1" applyBorder="1" applyAlignment="1">
      <alignment horizontal="center"/>
    </xf>
    <xf numFmtId="2" fontId="0" fillId="32" borderId="12" xfId="0" applyNumberFormat="1" applyFill="1" applyBorder="1" applyAlignment="1">
      <alignment horizontal="center"/>
    </xf>
    <xf numFmtId="2" fontId="0" fillId="32" borderId="13" xfId="0" applyNumberFormat="1" applyFill="1" applyBorder="1" applyAlignment="1">
      <alignment horizontal="center"/>
    </xf>
    <xf numFmtId="2" fontId="0" fillId="32" borderId="14" xfId="0" applyNumberFormat="1" applyFill="1" applyBorder="1" applyAlignment="1">
      <alignment horizontal="center"/>
    </xf>
    <xf numFmtId="2" fontId="0" fillId="32" borderId="15" xfId="0" applyNumberFormat="1" applyFill="1" applyBorder="1" applyAlignment="1">
      <alignment horizontal="center"/>
    </xf>
    <xf numFmtId="2" fontId="0" fillId="32" borderId="16" xfId="0" applyNumberFormat="1" applyFill="1" applyBorder="1" applyAlignment="1">
      <alignment horizontal="center"/>
    </xf>
    <xf numFmtId="2" fontId="0" fillId="32" borderId="17" xfId="0" applyNumberFormat="1" applyFill="1" applyBorder="1" applyAlignment="1">
      <alignment horizontal="center"/>
    </xf>
    <xf numFmtId="2" fontId="0" fillId="32" borderId="18" xfId="0" applyNumberFormat="1" applyFill="1" applyBorder="1" applyAlignment="1">
      <alignment horizontal="center"/>
    </xf>
    <xf numFmtId="2" fontId="0" fillId="32" borderId="19" xfId="0" applyNumberFormat="1" applyFill="1" applyBorder="1" applyAlignment="1">
      <alignment horizontal="center"/>
    </xf>
    <xf numFmtId="2" fontId="0" fillId="34" borderId="14" xfId="0" applyNumberFormat="1" applyFill="1" applyBorder="1" applyAlignment="1">
      <alignment horizontal="center"/>
    </xf>
    <xf numFmtId="2" fontId="0" fillId="34" borderId="15" xfId="0" applyNumberFormat="1" applyFill="1" applyBorder="1" applyAlignment="1">
      <alignment horizontal="center"/>
    </xf>
    <xf numFmtId="2" fontId="0" fillId="34" borderId="16" xfId="0" applyNumberFormat="1" applyFill="1" applyBorder="1" applyAlignment="1">
      <alignment horizontal="center"/>
    </xf>
    <xf numFmtId="2" fontId="0" fillId="34" borderId="17" xfId="0" applyNumberFormat="1" applyFill="1" applyBorder="1" applyAlignment="1">
      <alignment horizontal="center"/>
    </xf>
    <xf numFmtId="2" fontId="0" fillId="34" borderId="18" xfId="0" applyNumberFormat="1" applyFill="1" applyBorder="1" applyAlignment="1">
      <alignment horizontal="center"/>
    </xf>
    <xf numFmtId="2" fontId="0" fillId="34" borderId="19" xfId="0" applyNumberFormat="1" applyFill="1" applyBorder="1" applyAlignment="1">
      <alignment horizontal="center"/>
    </xf>
    <xf numFmtId="2" fontId="0" fillId="4" borderId="11" xfId="0" applyNumberFormat="1" applyFill="1" applyBorder="1" applyAlignment="1">
      <alignment horizontal="center"/>
    </xf>
    <xf numFmtId="2" fontId="0" fillId="4" borderId="12" xfId="0" applyNumberFormat="1" applyFill="1" applyBorder="1" applyAlignment="1">
      <alignment horizontal="center"/>
    </xf>
    <xf numFmtId="2" fontId="0" fillId="4" borderId="13" xfId="0" applyNumberFormat="1" applyFill="1" applyBorder="1" applyAlignment="1">
      <alignment horizontal="center"/>
    </xf>
    <xf numFmtId="10" fontId="0" fillId="35" borderId="0" xfId="0" applyNumberFormat="1" applyFill="1" applyAlignment="1">
      <alignment/>
    </xf>
    <xf numFmtId="0" fontId="0" fillId="0" borderId="0" xfId="0" applyFill="1" applyBorder="1" applyAlignment="1" applyProtection="1">
      <alignment/>
      <protection/>
    </xf>
    <xf numFmtId="0" fontId="0" fillId="0" borderId="0" xfId="0" applyAlignment="1" applyProtection="1">
      <alignment/>
      <protection/>
    </xf>
    <xf numFmtId="2" fontId="2" fillId="0" borderId="0" xfId="0" applyNumberFormat="1" applyFont="1" applyAlignment="1">
      <alignment/>
    </xf>
    <xf numFmtId="0" fontId="0" fillId="33" borderId="0" xfId="0" applyFill="1" applyAlignment="1">
      <alignment/>
    </xf>
    <xf numFmtId="0" fontId="2" fillId="33" borderId="0" xfId="0" applyFont="1" applyFill="1" applyAlignment="1">
      <alignment/>
    </xf>
    <xf numFmtId="0" fontId="0" fillId="18" borderId="0" xfId="0" applyFill="1" applyAlignment="1">
      <alignment/>
    </xf>
    <xf numFmtId="0" fontId="2" fillId="18" borderId="0" xfId="0" applyFont="1" applyFill="1" applyAlignment="1">
      <alignment/>
    </xf>
    <xf numFmtId="164" fontId="0" fillId="34" borderId="0" xfId="0" applyNumberFormat="1" applyFill="1" applyAlignment="1">
      <alignment/>
    </xf>
    <xf numFmtId="0" fontId="0" fillId="0" borderId="17" xfId="0" applyFill="1" applyBorder="1" applyAlignment="1" applyProtection="1">
      <alignment/>
      <protection locked="0"/>
    </xf>
    <xf numFmtId="2" fontId="0" fillId="0" borderId="0" xfId="0" applyNumberFormat="1" applyFill="1" applyBorder="1" applyAlignment="1" applyProtection="1">
      <alignment/>
      <protection locked="0"/>
    </xf>
    <xf numFmtId="2" fontId="0" fillId="0" borderId="20" xfId="0" applyNumberFormat="1" applyFill="1" applyBorder="1" applyAlignment="1" applyProtection="1">
      <alignment/>
      <protection locked="0"/>
    </xf>
    <xf numFmtId="14" fontId="2" fillId="0" borderId="0" xfId="0" applyNumberFormat="1" applyFont="1" applyFill="1" applyBorder="1" applyAlignment="1" applyProtection="1">
      <alignment/>
      <protection locked="0"/>
    </xf>
    <xf numFmtId="2" fontId="0" fillId="35" borderId="10" xfId="0" applyNumberFormat="1" applyFill="1" applyBorder="1" applyAlignment="1" applyProtection="1">
      <alignment/>
      <protection/>
    </xf>
    <xf numFmtId="0" fontId="2" fillId="0" borderId="0" xfId="0" applyFont="1" applyAlignment="1" applyProtection="1">
      <alignment/>
      <protection/>
    </xf>
    <xf numFmtId="14" fontId="0" fillId="0" borderId="0" xfId="0" applyNumberFormat="1" applyAlignment="1" applyProtection="1">
      <alignment/>
      <protection/>
    </xf>
    <xf numFmtId="0" fontId="0" fillId="36" borderId="14" xfId="0" applyFill="1" applyBorder="1" applyAlignment="1" applyProtection="1">
      <alignment/>
      <protection/>
    </xf>
    <xf numFmtId="0" fontId="0" fillId="36" borderId="21" xfId="0" applyFill="1" applyBorder="1" applyAlignment="1" applyProtection="1">
      <alignment/>
      <protection/>
    </xf>
    <xf numFmtId="0" fontId="0" fillId="36" borderId="15" xfId="0" applyFill="1" applyBorder="1" applyAlignment="1" applyProtection="1">
      <alignment/>
      <protection/>
    </xf>
    <xf numFmtId="0" fontId="0" fillId="36" borderId="16" xfId="0" applyFill="1" applyBorder="1" applyAlignment="1" applyProtection="1">
      <alignment/>
      <protection/>
    </xf>
    <xf numFmtId="0" fontId="6" fillId="36" borderId="0" xfId="0" applyFont="1" applyFill="1" applyBorder="1" applyAlignment="1" applyProtection="1">
      <alignment/>
      <protection/>
    </xf>
    <xf numFmtId="0" fontId="0" fillId="36" borderId="0" xfId="0" applyFill="1" applyBorder="1" applyAlignment="1" applyProtection="1">
      <alignment/>
      <protection/>
    </xf>
    <xf numFmtId="0" fontId="0" fillId="36" borderId="17" xfId="0" applyFill="1" applyBorder="1" applyAlignment="1" applyProtection="1">
      <alignment/>
      <protection/>
    </xf>
    <xf numFmtId="0" fontId="0" fillId="36" borderId="0" xfId="0" applyFill="1" applyBorder="1" applyAlignment="1" applyProtection="1">
      <alignment horizontal="right"/>
      <protection/>
    </xf>
    <xf numFmtId="0" fontId="0" fillId="36" borderId="18" xfId="0" applyFill="1" applyBorder="1" applyAlignment="1" applyProtection="1">
      <alignment/>
      <protection/>
    </xf>
    <xf numFmtId="0" fontId="0" fillId="36" borderId="20" xfId="0" applyFill="1" applyBorder="1" applyAlignment="1" applyProtection="1">
      <alignment/>
      <protection/>
    </xf>
    <xf numFmtId="0" fontId="0" fillId="36" borderId="19" xfId="0" applyFill="1" applyBorder="1" applyAlignment="1" applyProtection="1">
      <alignment/>
      <protection/>
    </xf>
    <xf numFmtId="2" fontId="0" fillId="0" borderId="21" xfId="0" applyNumberFormat="1" applyFill="1" applyBorder="1" applyAlignment="1" applyProtection="1">
      <alignment/>
      <protection locked="0"/>
    </xf>
    <xf numFmtId="2" fontId="0" fillId="0" borderId="16" xfId="0" applyNumberFormat="1" applyFill="1" applyBorder="1" applyAlignment="1" applyProtection="1">
      <alignment/>
      <protection locked="0"/>
    </xf>
    <xf numFmtId="2" fontId="0" fillId="0" borderId="18" xfId="0" applyNumberFormat="1" applyFill="1" applyBorder="1" applyAlignment="1" applyProtection="1">
      <alignment/>
      <protection locked="0"/>
    </xf>
    <xf numFmtId="0" fontId="2" fillId="34" borderId="22" xfId="0" applyFont="1" applyFill="1" applyBorder="1" applyAlignment="1" applyProtection="1">
      <alignment/>
      <protection locked="0"/>
    </xf>
    <xf numFmtId="0" fontId="10" fillId="0" borderId="0" xfId="0" applyFont="1" applyAlignment="1" applyProtection="1">
      <alignment/>
      <protection/>
    </xf>
    <xf numFmtId="0" fontId="5" fillId="0" borderId="0" xfId="0" applyFont="1" applyAlignment="1" applyProtection="1">
      <alignment/>
      <protection/>
    </xf>
    <xf numFmtId="0" fontId="7" fillId="0" borderId="0" xfId="0" applyFont="1" applyAlignment="1" applyProtection="1">
      <alignment horizontal="right"/>
      <protection/>
    </xf>
    <xf numFmtId="0" fontId="7" fillId="0" borderId="0" xfId="0" applyFont="1" applyAlignment="1" applyProtection="1">
      <alignment/>
      <protection/>
    </xf>
    <xf numFmtId="2" fontId="0" fillId="0" borderId="22" xfId="0" applyNumberFormat="1" applyFill="1" applyBorder="1" applyAlignment="1" applyProtection="1">
      <alignment/>
      <protection/>
    </xf>
    <xf numFmtId="164" fontId="8" fillId="0" borderId="0" xfId="0" applyNumberFormat="1" applyFont="1" applyAlignment="1">
      <alignment/>
    </xf>
    <xf numFmtId="2" fontId="0" fillId="33" borderId="0" xfId="0" applyNumberFormat="1" applyFill="1" applyAlignment="1">
      <alignment/>
    </xf>
    <xf numFmtId="2" fontId="0" fillId="34" borderId="11" xfId="0" applyNumberFormat="1" applyFont="1" applyFill="1" applyBorder="1" applyAlignment="1">
      <alignment horizontal="center"/>
    </xf>
    <xf numFmtId="2" fontId="0" fillId="34" borderId="12" xfId="0" applyNumberFormat="1" applyFont="1" applyFill="1" applyBorder="1" applyAlignment="1">
      <alignment horizontal="center"/>
    </xf>
    <xf numFmtId="2" fontId="0" fillId="34" borderId="13" xfId="0" applyNumberFormat="1" applyFont="1" applyFill="1" applyBorder="1" applyAlignment="1">
      <alignment horizontal="center"/>
    </xf>
    <xf numFmtId="2" fontId="0" fillId="0" borderId="0" xfId="0" applyNumberFormat="1" applyAlignment="1">
      <alignment wrapText="1"/>
    </xf>
    <xf numFmtId="2" fontId="0" fillId="0" borderId="14" xfId="0" applyNumberFormat="1" applyFill="1" applyBorder="1" applyAlignment="1" applyProtection="1">
      <alignment/>
      <protection locked="0"/>
    </xf>
    <xf numFmtId="0" fontId="0" fillId="0" borderId="0" xfId="0" applyFill="1" applyBorder="1" applyAlignment="1" applyProtection="1">
      <alignment/>
      <protection locked="0"/>
    </xf>
    <xf numFmtId="164" fontId="2" fillId="0" borderId="0" xfId="0" applyNumberFormat="1" applyFont="1" applyAlignment="1">
      <alignment/>
    </xf>
    <xf numFmtId="164" fontId="2" fillId="0" borderId="0" xfId="0" applyNumberFormat="1" applyFont="1" applyFill="1" applyAlignment="1">
      <alignment/>
    </xf>
    <xf numFmtId="1" fontId="0" fillId="0" borderId="0" xfId="0" applyNumberFormat="1" applyAlignment="1">
      <alignment/>
    </xf>
    <xf numFmtId="0" fontId="0" fillId="0" borderId="21" xfId="0" applyFill="1" applyBorder="1" applyAlignment="1" applyProtection="1">
      <alignment/>
      <protection locked="0"/>
    </xf>
    <xf numFmtId="2" fontId="0" fillId="0" borderId="19" xfId="0" applyNumberFormat="1" applyFill="1" applyBorder="1" applyAlignment="1" applyProtection="1">
      <alignment/>
      <protection locked="0"/>
    </xf>
    <xf numFmtId="2" fontId="2" fillId="18" borderId="0" xfId="0" applyNumberFormat="1" applyFont="1" applyFill="1" applyAlignment="1" applyProtection="1">
      <alignment/>
      <protection/>
    </xf>
    <xf numFmtId="0" fontId="2" fillId="35" borderId="0" xfId="0" applyFont="1" applyFill="1" applyAlignment="1" applyProtection="1">
      <alignment/>
      <protection/>
    </xf>
    <xf numFmtId="0" fontId="0" fillId="35" borderId="0" xfId="0" applyFill="1" applyAlignment="1" applyProtection="1">
      <alignment/>
      <protection/>
    </xf>
    <xf numFmtId="2" fontId="0" fillId="0" borderId="15" xfId="0" applyNumberFormat="1" applyFill="1" applyBorder="1" applyAlignment="1" applyProtection="1">
      <alignment/>
      <protection locked="0"/>
    </xf>
    <xf numFmtId="2" fontId="0" fillId="0" borderId="17" xfId="0" applyNumberFormat="1" applyFill="1" applyBorder="1" applyAlignment="1" applyProtection="1">
      <alignment/>
      <protection locked="0"/>
    </xf>
    <xf numFmtId="0" fontId="2" fillId="35" borderId="17" xfId="0" applyFont="1" applyFill="1" applyBorder="1" applyAlignment="1" applyProtection="1">
      <alignment/>
      <protection locked="0"/>
    </xf>
    <xf numFmtId="0" fontId="64" fillId="0" borderId="0" xfId="0" applyFont="1" applyAlignment="1">
      <alignment/>
    </xf>
    <xf numFmtId="0" fontId="65" fillId="0" borderId="0" xfId="0" applyFont="1" applyAlignment="1">
      <alignment/>
    </xf>
    <xf numFmtId="0" fontId="66" fillId="0" borderId="0" xfId="0" applyFont="1" applyAlignment="1">
      <alignment/>
    </xf>
    <xf numFmtId="0" fontId="67" fillId="0" borderId="0" xfId="0" applyFont="1" applyAlignment="1">
      <alignment/>
    </xf>
    <xf numFmtId="0" fontId="68" fillId="0" borderId="0" xfId="0" applyFont="1" applyAlignment="1">
      <alignment/>
    </xf>
    <xf numFmtId="0" fontId="69" fillId="0" borderId="0" xfId="0" applyFont="1" applyAlignment="1">
      <alignment/>
    </xf>
    <xf numFmtId="0" fontId="69" fillId="0" borderId="0" xfId="0" applyFont="1" applyAlignment="1">
      <alignment horizontal="right"/>
    </xf>
    <xf numFmtId="0" fontId="70" fillId="0" borderId="0" xfId="0" applyFont="1" applyAlignment="1">
      <alignment/>
    </xf>
    <xf numFmtId="0" fontId="68" fillId="0" borderId="0" xfId="0" applyFont="1" applyAlignment="1">
      <alignment horizontal="right"/>
    </xf>
    <xf numFmtId="169" fontId="69" fillId="0" borderId="0" xfId="0" applyNumberFormat="1" applyFont="1" applyAlignment="1">
      <alignment/>
    </xf>
    <xf numFmtId="169" fontId="70" fillId="0" borderId="0" xfId="0" applyNumberFormat="1" applyFont="1" applyAlignment="1">
      <alignment vertical="top"/>
    </xf>
    <xf numFmtId="0" fontId="69" fillId="0" borderId="0" xfId="0" applyFont="1" applyAlignment="1">
      <alignment horizontal="left"/>
    </xf>
    <xf numFmtId="0" fontId="64" fillId="0" borderId="23" xfId="0" applyFont="1" applyBorder="1" applyAlignment="1">
      <alignment/>
    </xf>
    <xf numFmtId="0" fontId="69" fillId="0" borderId="24" xfId="0" applyFont="1" applyBorder="1" applyAlignment="1">
      <alignment/>
    </xf>
    <xf numFmtId="0" fontId="70" fillId="0" borderId="24" xfId="0" applyFont="1" applyBorder="1" applyAlignment="1">
      <alignment/>
    </xf>
    <xf numFmtId="0" fontId="69" fillId="0" borderId="0" xfId="0" applyFont="1" applyBorder="1" applyAlignment="1">
      <alignment/>
    </xf>
    <xf numFmtId="169" fontId="70" fillId="0" borderId="0" xfId="0" applyNumberFormat="1" applyFont="1" applyBorder="1" applyAlignment="1">
      <alignment vertical="top"/>
    </xf>
    <xf numFmtId="0" fontId="65" fillId="0" borderId="0" xfId="0" applyFont="1" applyBorder="1" applyAlignment="1">
      <alignment/>
    </xf>
    <xf numFmtId="0" fontId="64" fillId="0" borderId="24" xfId="0" applyFont="1" applyBorder="1" applyAlignment="1">
      <alignment/>
    </xf>
    <xf numFmtId="0" fontId="64" fillId="0" borderId="0" xfId="0" applyFont="1" applyBorder="1" applyAlignment="1">
      <alignment/>
    </xf>
    <xf numFmtId="0" fontId="71" fillId="0" borderId="0" xfId="0" applyFont="1" applyAlignment="1">
      <alignment vertical="center"/>
    </xf>
    <xf numFmtId="0" fontId="69" fillId="0" borderId="0" xfId="0" applyFont="1" applyAlignment="1">
      <alignment vertical="center"/>
    </xf>
    <xf numFmtId="0" fontId="69" fillId="0" borderId="0" xfId="0" applyFont="1" applyAlignment="1">
      <alignment horizontal="right" vertical="center"/>
    </xf>
    <xf numFmtId="14" fontId="69" fillId="0" borderId="0" xfId="0" applyNumberFormat="1" applyFont="1" applyFill="1" applyBorder="1" applyAlignment="1" applyProtection="1">
      <alignment vertical="center"/>
      <protection/>
    </xf>
    <xf numFmtId="0" fontId="69" fillId="0" borderId="0" xfId="0" applyFont="1" applyFill="1" applyBorder="1" applyAlignment="1" applyProtection="1">
      <alignment horizontal="center" vertical="center"/>
      <protection/>
    </xf>
    <xf numFmtId="0" fontId="69" fillId="0" borderId="24" xfId="0" applyFont="1" applyBorder="1" applyAlignment="1">
      <alignment vertical="center"/>
    </xf>
    <xf numFmtId="0" fontId="69" fillId="0" borderId="24" xfId="0" applyFont="1" applyBorder="1" applyAlignment="1">
      <alignment horizontal="right" vertical="center"/>
    </xf>
    <xf numFmtId="0" fontId="69" fillId="0" borderId="0" xfId="0" applyFont="1" applyFill="1" applyBorder="1" applyAlignment="1" applyProtection="1">
      <alignment vertical="center"/>
      <protection/>
    </xf>
    <xf numFmtId="0" fontId="69" fillId="0" borderId="0" xfId="0" applyFont="1" applyAlignment="1" applyProtection="1">
      <alignment vertical="center"/>
      <protection/>
    </xf>
    <xf numFmtId="0" fontId="68" fillId="0" borderId="25" xfId="0" applyFont="1" applyBorder="1" applyAlignment="1">
      <alignment/>
    </xf>
    <xf numFmtId="0" fontId="69" fillId="0" borderId="25" xfId="0" applyFont="1" applyBorder="1" applyAlignment="1">
      <alignment/>
    </xf>
    <xf numFmtId="0" fontId="64" fillId="0" borderId="25" xfId="0" applyFont="1" applyBorder="1" applyAlignment="1">
      <alignment/>
    </xf>
    <xf numFmtId="0" fontId="69" fillId="37" borderId="0" xfId="0" applyFont="1" applyFill="1" applyBorder="1" applyAlignment="1" applyProtection="1">
      <alignment horizontal="center" vertical="center"/>
      <protection locked="0"/>
    </xf>
    <xf numFmtId="14" fontId="69" fillId="37" borderId="0" xfId="0" applyNumberFormat="1" applyFont="1" applyFill="1" applyBorder="1" applyAlignment="1" applyProtection="1">
      <alignment horizontal="center" vertical="center"/>
      <protection locked="0"/>
    </xf>
    <xf numFmtId="170" fontId="66" fillId="0" borderId="0" xfId="0" applyNumberFormat="1" applyFont="1" applyAlignment="1">
      <alignment horizontal="left"/>
    </xf>
    <xf numFmtId="0" fontId="0" fillId="0" borderId="0" xfId="0" applyAlignment="1">
      <alignment vertical="top" wrapText="1"/>
    </xf>
    <xf numFmtId="0" fontId="68" fillId="0" borderId="0" xfId="0" applyFont="1" applyAlignment="1">
      <alignment horizontal="right" vertical="top"/>
    </xf>
    <xf numFmtId="169" fontId="69" fillId="38" borderId="0" xfId="0" applyNumberFormat="1" applyFont="1" applyFill="1" applyBorder="1" applyAlignment="1" applyProtection="1">
      <alignment horizontal="center" vertical="center"/>
      <protection locked="0"/>
    </xf>
    <xf numFmtId="166" fontId="68" fillId="39" borderId="0" xfId="0" applyNumberFormat="1" applyFont="1" applyFill="1" applyBorder="1" applyAlignment="1">
      <alignment horizontal="center" vertical="center"/>
    </xf>
    <xf numFmtId="166" fontId="68" fillId="40" borderId="0" xfId="0" applyNumberFormat="1" applyFont="1" applyFill="1" applyBorder="1" applyAlignment="1">
      <alignment horizontal="center" vertical="center"/>
    </xf>
    <xf numFmtId="169" fontId="69" fillId="0" borderId="24" xfId="0" applyNumberFormat="1" applyFont="1" applyBorder="1" applyAlignment="1">
      <alignment vertical="center"/>
    </xf>
    <xf numFmtId="0" fontId="69" fillId="0" borderId="0" xfId="0" applyFont="1" applyAlignment="1">
      <alignment vertical="top" wrapText="1"/>
    </xf>
    <xf numFmtId="0" fontId="68" fillId="0" borderId="0" xfId="0" applyFont="1" applyBorder="1" applyAlignment="1">
      <alignment vertical="top"/>
    </xf>
    <xf numFmtId="0" fontId="68" fillId="0" borderId="0" xfId="0" applyFont="1" applyBorder="1" applyAlignment="1">
      <alignment horizontal="right" vertical="top"/>
    </xf>
    <xf numFmtId="0" fontId="0" fillId="0" borderId="0" xfId="0" applyFont="1" applyAlignment="1">
      <alignment/>
    </xf>
    <xf numFmtId="0" fontId="72" fillId="0" borderId="0" xfId="0" applyFont="1" applyAlignment="1">
      <alignment horizontal="center" wrapText="1"/>
    </xf>
    <xf numFmtId="0" fontId="0" fillId="0" borderId="0" xfId="0" applyAlignment="1">
      <alignment horizontal="center" wrapText="1"/>
    </xf>
    <xf numFmtId="0" fontId="15" fillId="0" borderId="0" xfId="0" applyFont="1" applyAlignment="1">
      <alignment/>
    </xf>
    <xf numFmtId="0" fontId="69" fillId="0" borderId="0" xfId="0" applyFont="1" applyAlignment="1" applyProtection="1">
      <alignment/>
      <protection/>
    </xf>
    <xf numFmtId="14" fontId="69" fillId="0" borderId="0" xfId="0" applyNumberFormat="1" applyFont="1" applyAlignment="1" applyProtection="1">
      <alignment/>
      <protection/>
    </xf>
    <xf numFmtId="0" fontId="64" fillId="0" borderId="0" xfId="0" applyFont="1" applyAlignment="1" applyProtection="1">
      <alignment/>
      <protection/>
    </xf>
    <xf numFmtId="0" fontId="69" fillId="40" borderId="24" xfId="0" applyFont="1" applyFill="1" applyBorder="1" applyAlignment="1" applyProtection="1">
      <alignment vertical="center"/>
      <protection/>
    </xf>
    <xf numFmtId="0" fontId="69" fillId="0" borderId="24" xfId="0" applyFont="1" applyBorder="1" applyAlignment="1" applyProtection="1">
      <alignment vertical="center"/>
      <protection/>
    </xf>
    <xf numFmtId="0" fontId="69" fillId="0" borderId="24" xfId="0" applyFont="1" applyBorder="1" applyAlignment="1" applyProtection="1">
      <alignment/>
      <protection/>
    </xf>
    <xf numFmtId="0" fontId="64" fillId="0" borderId="24" xfId="0" applyFont="1" applyBorder="1" applyAlignment="1" applyProtection="1">
      <alignment/>
      <protection/>
    </xf>
    <xf numFmtId="0" fontId="69" fillId="0" borderId="0" xfId="0" applyFont="1" applyAlignment="1" applyProtection="1">
      <alignment horizontal="right" vertical="center"/>
      <protection/>
    </xf>
    <xf numFmtId="14" fontId="69" fillId="0" borderId="0" xfId="0" applyNumberFormat="1" applyFont="1" applyAlignment="1" applyProtection="1">
      <alignment vertical="center"/>
      <protection/>
    </xf>
    <xf numFmtId="0" fontId="70" fillId="0" borderId="0" xfId="0" applyFont="1" applyAlignment="1" applyProtection="1">
      <alignment/>
      <protection/>
    </xf>
    <xf numFmtId="0" fontId="73" fillId="0" borderId="0" xfId="0" applyFont="1" applyAlignment="1" applyProtection="1">
      <alignment/>
      <protection/>
    </xf>
    <xf numFmtId="0" fontId="74" fillId="0" borderId="0" xfId="0" applyFont="1" applyAlignment="1">
      <alignment/>
    </xf>
    <xf numFmtId="15" fontId="0" fillId="0" borderId="0" xfId="0" applyNumberFormat="1" applyAlignment="1">
      <alignment/>
    </xf>
    <xf numFmtId="172" fontId="75" fillId="0" borderId="26" xfId="0" applyNumberFormat="1" applyFont="1" applyBorder="1" applyAlignment="1">
      <alignment horizontal="center" vertical="center"/>
    </xf>
    <xf numFmtId="172" fontId="75" fillId="0" borderId="27" xfId="0" applyNumberFormat="1" applyFont="1" applyBorder="1" applyAlignment="1">
      <alignment horizontal="center" vertical="center"/>
    </xf>
    <xf numFmtId="0" fontId="76" fillId="0" borderId="0" xfId="0" applyFont="1" applyAlignment="1">
      <alignment/>
    </xf>
    <xf numFmtId="0" fontId="74" fillId="0" borderId="0" xfId="0" applyFont="1" applyAlignment="1">
      <alignment/>
    </xf>
    <xf numFmtId="2" fontId="74" fillId="0" borderId="0" xfId="0" applyNumberFormat="1" applyFont="1" applyAlignment="1">
      <alignment/>
    </xf>
    <xf numFmtId="0" fontId="67" fillId="0" borderId="0" xfId="0" applyFont="1" applyAlignment="1">
      <alignment horizontal="right"/>
    </xf>
    <xf numFmtId="0" fontId="0"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180" fontId="0" fillId="0" borderId="0" xfId="0" applyNumberFormat="1" applyAlignment="1">
      <alignment horizontal="left"/>
    </xf>
    <xf numFmtId="0" fontId="46" fillId="0" borderId="0" xfId="57">
      <alignment/>
      <protection/>
    </xf>
    <xf numFmtId="0" fontId="69" fillId="0" borderId="0" xfId="0" applyFont="1" applyAlignment="1">
      <alignment vertical="top" wrapText="1"/>
    </xf>
    <xf numFmtId="0" fontId="0" fillId="0" borderId="0" xfId="0" applyAlignment="1">
      <alignment vertical="top" wrapText="1"/>
    </xf>
    <xf numFmtId="0" fontId="72" fillId="0" borderId="0" xfId="0" applyFont="1" applyAlignment="1">
      <alignment horizontal="center" wrapText="1"/>
    </xf>
    <xf numFmtId="0" fontId="0" fillId="0" borderId="0" xfId="0"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7">
    <dxf>
      <fill>
        <patternFill>
          <bgColor indexed="43"/>
        </patternFill>
      </fill>
      <border>
        <left style="thin"/>
        <right style="thin"/>
        <top style="thin"/>
        <bottom style="thin"/>
      </border>
    </dxf>
    <dxf>
      <font>
        <color theme="0"/>
      </font>
      <fill>
        <patternFill>
          <bgColor theme="0"/>
        </patternFill>
      </fill>
    </dxf>
    <dxf>
      <fill>
        <patternFill>
          <bgColor rgb="FF92D1CD"/>
        </patternFill>
      </fill>
      <border>
        <left/>
        <right/>
        <top/>
        <bottom/>
      </border>
    </dxf>
    <dxf>
      <fill>
        <patternFill patternType="none">
          <bgColor indexed="65"/>
        </patternFill>
      </fill>
      <border>
        <left/>
        <right/>
        <top/>
        <bottom/>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bgColor rgb="FFFFFF99"/>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409575</xdr:rowOff>
    </xdr:from>
    <xdr:to>
      <xdr:col>2</xdr:col>
      <xdr:colOff>714375</xdr:colOff>
      <xdr:row>1</xdr:row>
      <xdr:rowOff>38100</xdr:rowOff>
    </xdr:to>
    <xdr:pic>
      <xdr:nvPicPr>
        <xdr:cNvPr id="1" name="Picture 2"/>
        <xdr:cNvPicPr preferRelativeResize="1">
          <a:picLocks noChangeAspect="1"/>
        </xdr:cNvPicPr>
      </xdr:nvPicPr>
      <xdr:blipFill>
        <a:blip r:embed="rId1"/>
        <a:stretch>
          <a:fillRect/>
        </a:stretch>
      </xdr:blipFill>
      <xdr:spPr>
        <a:xfrm>
          <a:off x="428625" y="409575"/>
          <a:ext cx="16954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51"/>
  <sheetViews>
    <sheetView showGridLines="0" showRowColHeaders="0" tabSelected="1" zoomScale="90" zoomScaleNormal="90" zoomScalePageLayoutView="0" workbookViewId="0" topLeftCell="A1">
      <selection activeCell="G7" sqref="G7"/>
    </sheetView>
  </sheetViews>
  <sheetFormatPr defaultColWidth="9.28125" defaultRowHeight="12.75"/>
  <cols>
    <col min="1" max="1" width="5.57421875" style="100" customWidth="1"/>
    <col min="2" max="2" width="15.57421875" style="100" customWidth="1"/>
    <col min="3" max="3" width="20.421875" style="100" customWidth="1"/>
    <col min="4" max="4" width="16.421875" style="100" customWidth="1"/>
    <col min="5" max="5" width="18.421875" style="100" customWidth="1"/>
    <col min="6" max="6" width="1.421875" style="100" hidden="1" customWidth="1"/>
    <col min="7" max="7" width="28.28125" style="100" customWidth="1"/>
    <col min="8" max="8" width="0.5625" style="100" customWidth="1"/>
    <col min="9" max="9" width="12.00390625" style="100" customWidth="1"/>
    <col min="10" max="10" width="20.57421875" style="100" customWidth="1"/>
    <col min="11" max="11" width="8.57421875" style="100" customWidth="1"/>
    <col min="12" max="12" width="9.28125" style="100" customWidth="1"/>
    <col min="13" max="13" width="11.57421875" style="100" hidden="1" customWidth="1"/>
    <col min="14" max="14" width="11.28125" style="100" customWidth="1"/>
    <col min="15" max="16384" width="9.28125" style="100" customWidth="1"/>
  </cols>
  <sheetData>
    <row r="1" spans="5:9" ht="85.5" customHeight="1">
      <c r="E1" s="174" t="s">
        <v>110</v>
      </c>
      <c r="F1" s="175"/>
      <c r="G1" s="175"/>
      <c r="H1" s="175"/>
      <c r="I1" s="175"/>
    </row>
    <row r="2" spans="1:9" ht="12" customHeight="1">
      <c r="A2" s="147"/>
      <c r="E2" s="145"/>
      <c r="F2" s="146"/>
      <c r="G2" s="146"/>
      <c r="H2" s="146"/>
      <c r="I2" s="146"/>
    </row>
    <row r="3" spans="2:14" ht="33.75" customHeight="1">
      <c r="B3" s="103" t="s">
        <v>139</v>
      </c>
      <c r="J3" s="103"/>
      <c r="N3" s="166" t="s">
        <v>134</v>
      </c>
    </row>
    <row r="4" spans="2:14" ht="12.75" customHeight="1" thickBot="1">
      <c r="B4" s="112"/>
      <c r="C4" s="112"/>
      <c r="D4" s="112"/>
      <c r="E4" s="112"/>
      <c r="F4" s="112"/>
      <c r="G4" s="112"/>
      <c r="H4" s="112"/>
      <c r="I4" s="112"/>
      <c r="J4" s="112"/>
      <c r="K4" s="112"/>
      <c r="L4" s="112"/>
      <c r="M4" s="112"/>
      <c r="N4" s="112"/>
    </row>
    <row r="5" spans="2:14" ht="28.5" customHeight="1" thickTop="1">
      <c r="B5" s="101" t="s">
        <v>24</v>
      </c>
      <c r="C5" s="105"/>
      <c r="D5" s="105"/>
      <c r="E5" s="105"/>
      <c r="F5" s="105"/>
      <c r="G5" s="105"/>
      <c r="H5" s="105"/>
      <c r="I5" s="148"/>
      <c r="J5" s="148"/>
      <c r="K5" s="148"/>
      <c r="L5" s="148"/>
      <c r="M5" s="149">
        <f>'calcs - classic'!F6</f>
        <v>23400</v>
      </c>
      <c r="N5" s="150"/>
    </row>
    <row r="6" spans="2:14" ht="6" customHeight="1">
      <c r="B6" s="105"/>
      <c r="C6" s="105"/>
      <c r="D6" s="105"/>
      <c r="E6" s="105"/>
      <c r="F6" s="105"/>
      <c r="G6" s="105"/>
      <c r="H6" s="105"/>
      <c r="I6" s="148"/>
      <c r="J6" s="148"/>
      <c r="K6" s="148"/>
      <c r="L6" s="148"/>
      <c r="M6" s="148" t="s">
        <v>2</v>
      </c>
      <c r="N6" s="150"/>
    </row>
    <row r="7" spans="2:14" ht="18" customHeight="1">
      <c r="B7" s="105"/>
      <c r="C7" s="105"/>
      <c r="E7" s="122" t="s">
        <v>93</v>
      </c>
      <c r="F7" s="121"/>
      <c r="G7" s="133"/>
      <c r="H7" s="121"/>
      <c r="I7" s="150"/>
      <c r="J7" s="128"/>
      <c r="K7" s="128"/>
      <c r="L7" s="128"/>
      <c r="M7" s="148" t="s">
        <v>25</v>
      </c>
      <c r="N7" s="150"/>
    </row>
    <row r="8" spans="2:14" ht="9" customHeight="1">
      <c r="B8" s="105"/>
      <c r="C8" s="105"/>
      <c r="D8" s="123"/>
      <c r="E8" s="122"/>
      <c r="F8" s="121"/>
      <c r="G8" s="122"/>
      <c r="H8" s="121"/>
      <c r="I8" s="124"/>
      <c r="J8" s="128"/>
      <c r="K8" s="128"/>
      <c r="L8" s="128"/>
      <c r="M8" s="148"/>
      <c r="N8" s="150"/>
    </row>
    <row r="9" spans="2:14" ht="18" customHeight="1" hidden="1">
      <c r="B9" s="105"/>
      <c r="C9" s="105"/>
      <c r="D9" s="123"/>
      <c r="E9" s="122" t="s">
        <v>94</v>
      </c>
      <c r="F9" s="121"/>
      <c r="G9" s="132" t="s">
        <v>2</v>
      </c>
      <c r="H9" s="121"/>
      <c r="I9" s="124"/>
      <c r="J9" s="128"/>
      <c r="K9" s="128"/>
      <c r="L9" s="128"/>
      <c r="M9" s="148"/>
      <c r="N9" s="150"/>
    </row>
    <row r="10" spans="2:14" ht="9" customHeight="1" hidden="1">
      <c r="B10" s="105"/>
      <c r="C10" s="105"/>
      <c r="D10" s="123"/>
      <c r="E10" s="120"/>
      <c r="F10" s="121"/>
      <c r="G10" s="122"/>
      <c r="H10" s="121"/>
      <c r="I10" s="124"/>
      <c r="J10" s="128"/>
      <c r="K10" s="128"/>
      <c r="L10" s="128"/>
      <c r="M10" s="148"/>
      <c r="N10" s="150"/>
    </row>
    <row r="11" spans="2:14" ht="18" customHeight="1">
      <c r="B11" s="105"/>
      <c r="C11" s="111"/>
      <c r="D11" s="121"/>
      <c r="E11" s="106" t="s">
        <v>113</v>
      </c>
      <c r="F11" s="121"/>
      <c r="G11" s="132"/>
      <c r="H11" s="121"/>
      <c r="I11" s="150"/>
      <c r="J11" s="128"/>
      <c r="K11" s="128"/>
      <c r="L11" s="128"/>
      <c r="M11" s="148" t="str">
        <f>"You cannot buy more than "&amp;TEXT('calcs - classic'!G3,"£0,000")&amp;" added pension"</f>
        <v>You cannot buy more than £7,300 added pension</v>
      </c>
      <c r="N11" s="150"/>
    </row>
    <row r="12" spans="2:14" ht="16.5" customHeight="1" thickBot="1">
      <c r="B12" s="113"/>
      <c r="C12" s="114"/>
      <c r="D12" s="125"/>
      <c r="E12" s="125"/>
      <c r="F12" s="125"/>
      <c r="G12" s="126"/>
      <c r="H12" s="125"/>
      <c r="I12" s="151"/>
      <c r="J12" s="152"/>
      <c r="K12" s="152"/>
      <c r="L12" s="152"/>
      <c r="M12" s="153"/>
      <c r="N12" s="154"/>
    </row>
    <row r="13" spans="2:14" ht="28.5" customHeight="1" thickTop="1">
      <c r="B13" s="101" t="s">
        <v>97</v>
      </c>
      <c r="C13" s="105"/>
      <c r="D13" s="121"/>
      <c r="E13" s="121"/>
      <c r="F13" s="121"/>
      <c r="G13" s="121"/>
      <c r="H13" s="121"/>
      <c r="I13" s="128"/>
      <c r="J13" s="128"/>
      <c r="K13" s="128"/>
      <c r="L13" s="128"/>
      <c r="M13" s="148"/>
      <c r="N13" s="150"/>
    </row>
    <row r="14" spans="2:14" ht="6.75" customHeight="1">
      <c r="B14" s="105"/>
      <c r="C14" s="105"/>
      <c r="D14" s="121"/>
      <c r="E14" s="121"/>
      <c r="F14" s="121"/>
      <c r="G14" s="121"/>
      <c r="H14" s="121"/>
      <c r="I14" s="128"/>
      <c r="J14" s="128"/>
      <c r="K14" s="128"/>
      <c r="L14" s="128"/>
      <c r="M14" s="148"/>
      <c r="N14" s="150"/>
    </row>
    <row r="15" spans="2:14" ht="18" customHeight="1">
      <c r="B15" s="105"/>
      <c r="C15" s="105"/>
      <c r="D15" s="121"/>
      <c r="E15" s="122" t="s">
        <v>98</v>
      </c>
      <c r="F15" s="121"/>
      <c r="G15" s="132"/>
      <c r="H15" s="121"/>
      <c r="I15" s="128"/>
      <c r="J15" s="155">
        <f>IF(G15="monthly contributions","For how many years? ","")</f>
      </c>
      <c r="K15" s="132">
        <v>1</v>
      </c>
      <c r="L15" s="128"/>
      <c r="M15" s="148" t="s">
        <v>16</v>
      </c>
      <c r="N15" s="150"/>
    </row>
    <row r="16" spans="2:14" ht="9" customHeight="1">
      <c r="B16" s="105"/>
      <c r="C16" s="105"/>
      <c r="D16" s="121"/>
      <c r="E16" s="122"/>
      <c r="F16" s="121"/>
      <c r="G16" s="127"/>
      <c r="H16" s="121"/>
      <c r="I16" s="128"/>
      <c r="J16" s="128"/>
      <c r="K16" s="128"/>
      <c r="L16" s="128"/>
      <c r="M16" s="148" t="s">
        <v>41</v>
      </c>
      <c r="N16" s="150"/>
    </row>
    <row r="17" spans="2:14" ht="21" customHeight="1" hidden="1">
      <c r="B17" s="105"/>
      <c r="C17" s="105"/>
      <c r="D17" s="121"/>
      <c r="E17" s="122" t="s">
        <v>99</v>
      </c>
      <c r="F17" s="121"/>
      <c r="G17" s="132">
        <f ca="1">IF(DATEDIF(G7,NOW(),"y")&lt;60,60,DATEDIF(G7,NOW(),"y")+1)</f>
        <v>125</v>
      </c>
      <c r="H17" s="121"/>
      <c r="I17" s="128"/>
      <c r="J17" s="156"/>
      <c r="K17" s="128"/>
      <c r="L17" s="128"/>
      <c r="M17" s="148"/>
      <c r="N17" s="150"/>
    </row>
    <row r="18" spans="2:14" ht="15">
      <c r="B18" s="104"/>
      <c r="C18" s="105"/>
      <c r="D18" s="105"/>
      <c r="E18" s="105"/>
      <c r="F18" s="105"/>
      <c r="G18" s="105"/>
      <c r="H18" s="105"/>
      <c r="I18" s="157" t="str">
        <f>IF(G7=""," ",'calcs - classic'!$A$83)</f>
        <v> </v>
      </c>
      <c r="J18" s="148"/>
      <c r="K18" s="148"/>
      <c r="L18" s="148"/>
      <c r="M18" s="148" t="s">
        <v>84</v>
      </c>
      <c r="N18" s="150"/>
    </row>
    <row r="19" spans="2:14" ht="6" customHeight="1">
      <c r="B19" s="104"/>
      <c r="C19" s="105"/>
      <c r="D19" s="105"/>
      <c r="E19" s="105"/>
      <c r="F19" s="105"/>
      <c r="G19" s="105"/>
      <c r="H19" s="105"/>
      <c r="I19" s="148"/>
      <c r="J19" s="148"/>
      <c r="K19" s="148"/>
      <c r="L19" s="148"/>
      <c r="M19" s="148"/>
      <c r="N19" s="150"/>
    </row>
    <row r="20" spans="2:14" ht="18" customHeight="1">
      <c r="B20" s="108" t="s">
        <v>43</v>
      </c>
      <c r="C20" s="105"/>
      <c r="D20" s="105"/>
      <c r="E20" s="122" t="s">
        <v>95</v>
      </c>
      <c r="F20" s="105"/>
      <c r="G20" s="137"/>
      <c r="H20" s="105"/>
      <c r="I20" s="148" t="str">
        <f>IF(G15="lump sum"," ","per month")</f>
        <v>per month</v>
      </c>
      <c r="J20" s="158">
        <f>IF(AND(G20&lt;&gt;"",G22&lt;&gt;""),"please enter figures into only one of the orange boxes, leave the other blank","")</f>
      </c>
      <c r="K20" s="148"/>
      <c r="L20" s="148"/>
      <c r="M20" s="148"/>
      <c r="N20" s="150"/>
    </row>
    <row r="21" spans="2:14" ht="9" customHeight="1">
      <c r="B21" s="106"/>
      <c r="C21" s="105"/>
      <c r="D21" s="105"/>
      <c r="E21" s="105"/>
      <c r="F21" s="105"/>
      <c r="G21" s="109"/>
      <c r="H21" s="105"/>
      <c r="I21" s="148"/>
      <c r="J21" s="148"/>
      <c r="K21" s="148"/>
      <c r="L21" s="148"/>
      <c r="M21" s="148"/>
      <c r="N21" s="150"/>
    </row>
    <row r="22" spans="2:14" ht="18" customHeight="1">
      <c r="B22" s="108" t="s">
        <v>44</v>
      </c>
      <c r="C22" s="105"/>
      <c r="D22" s="105"/>
      <c r="E22" s="106" t="s">
        <v>96</v>
      </c>
      <c r="F22" s="105"/>
      <c r="G22" s="137"/>
      <c r="H22" s="105"/>
      <c r="I22" s="148" t="s">
        <v>42</v>
      </c>
      <c r="J22" s="157" t="str">
        <f>IF(AND(OR(G11="No",G15="monthly contributions"),G22&gt;'calcs - classic'!G3),M11," ")</f>
        <v> </v>
      </c>
      <c r="K22" s="148"/>
      <c r="L22" s="148"/>
      <c r="M22" s="148"/>
      <c r="N22" s="150"/>
    </row>
    <row r="23" spans="2:14" ht="27" customHeight="1" thickBot="1">
      <c r="B23" s="113"/>
      <c r="C23" s="113"/>
      <c r="D23" s="113"/>
      <c r="E23" s="113"/>
      <c r="F23" s="113"/>
      <c r="G23" s="140" t="str">
        <f>IF(M23=2,"plus an automatic lump sum","")</f>
        <v>plus an automatic lump sum</v>
      </c>
      <c r="H23" s="113"/>
      <c r="I23" s="113"/>
      <c r="J23" s="113"/>
      <c r="K23" s="113"/>
      <c r="L23" s="113"/>
      <c r="M23" s="113">
        <f>IF(G20&lt;&gt;"",1,2)</f>
        <v>2</v>
      </c>
      <c r="N23" s="118"/>
    </row>
    <row r="24" spans="2:14" ht="28.5" customHeight="1" thickTop="1">
      <c r="B24" s="117" t="s">
        <v>92</v>
      </c>
      <c r="C24" s="115"/>
      <c r="D24" s="115"/>
      <c r="E24" s="115"/>
      <c r="F24" s="115"/>
      <c r="G24" s="116"/>
      <c r="H24" s="115"/>
      <c r="I24" s="115"/>
      <c r="J24" s="115"/>
      <c r="K24" s="115"/>
      <c r="L24" s="115"/>
      <c r="M24" s="115"/>
      <c r="N24" s="119"/>
    </row>
    <row r="25" spans="2:13" ht="10.5" customHeight="1">
      <c r="B25" s="105"/>
      <c r="C25" s="105"/>
      <c r="D25" s="105"/>
      <c r="E25" s="105"/>
      <c r="F25" s="105"/>
      <c r="G25" s="110"/>
      <c r="H25" s="105"/>
      <c r="I25" s="105"/>
      <c r="J25" s="105"/>
      <c r="K25" s="105"/>
      <c r="L25" s="105"/>
      <c r="M25" s="105"/>
    </row>
    <row r="26" spans="2:13" ht="18" customHeight="1">
      <c r="B26" s="105"/>
      <c r="C26" s="104"/>
      <c r="D26" s="105"/>
      <c r="E26" s="108" t="str">
        <f>IF(M23=1,"Your savings will buy an annual pension of: ","This pension will cost you: ")</f>
        <v>This pension will cost you: </v>
      </c>
      <c r="F26" s="105"/>
      <c r="G26" s="138" t="str">
        <f>IF(AND('calcs - classic'!B84=0,'calcs - classic'!C84=0,J22=" ",J26=""),'calcs - classic'!B28,IF(G11="yes",'calcs - classic'!B28," "))</f>
        <v> </v>
      </c>
      <c r="H26" s="105"/>
      <c r="I26" s="111" t="str">
        <f>IF(AND('calcs - classic'!D2="periodicals",'calcs - classic'!B4&lt;&gt;"savings"),"per month",IF('calcs - classic'!B4="savings","",""))</f>
        <v>per month</v>
      </c>
      <c r="J26" s="107">
        <f>IF('calcs - classic'!B4="savings",'calcs - classic'!A29,"")</f>
      </c>
      <c r="K26" s="105"/>
      <c r="L26" s="105"/>
      <c r="M26" s="105"/>
    </row>
    <row r="27" spans="2:13" ht="9" customHeight="1">
      <c r="B27" s="105"/>
      <c r="C27" s="104"/>
      <c r="D27" s="105"/>
      <c r="E27" s="105"/>
      <c r="F27" s="105"/>
      <c r="G27" s="139"/>
      <c r="H27" s="105"/>
      <c r="I27" s="111"/>
      <c r="J27" s="107"/>
      <c r="K27" s="105"/>
      <c r="L27" s="105"/>
      <c r="M27" s="105"/>
    </row>
    <row r="28" spans="2:13" ht="18" customHeight="1">
      <c r="B28" s="105"/>
      <c r="C28" s="105"/>
      <c r="D28" s="104"/>
      <c r="E28" s="108">
        <f>IF(M23=1,"and a lump sum of: ","")</f>
      </c>
      <c r="F28" s="105"/>
      <c r="G28" s="139">
        <f>IF(AND(M23=1,'calcs - classic'!B84=0,'calcs - classic'!C84=0,J26="",J22=" "),G26*3*'calcs - classic'!K4,"")</f>
      </c>
      <c r="H28" s="105"/>
      <c r="I28" s="105" t="str">
        <f>IF(G20&gt;0,""," ")</f>
        <v> </v>
      </c>
      <c r="J28" s="105"/>
      <c r="K28" s="105"/>
      <c r="L28" s="105"/>
      <c r="M28" s="105"/>
    </row>
    <row r="29" spans="2:13" ht="14.25" thickBot="1">
      <c r="B29" s="105"/>
      <c r="C29" s="105"/>
      <c r="D29" s="104"/>
      <c r="E29" s="105"/>
      <c r="F29" s="105"/>
      <c r="G29" s="105"/>
      <c r="H29" s="105"/>
      <c r="I29" s="105"/>
      <c r="J29" s="105"/>
      <c r="K29" s="105"/>
      <c r="L29" s="105"/>
      <c r="M29" s="105"/>
    </row>
    <row r="30" spans="2:14" ht="28.5" customHeight="1" thickTop="1">
      <c r="B30" s="129" t="s">
        <v>104</v>
      </c>
      <c r="C30" s="130"/>
      <c r="D30" s="130"/>
      <c r="E30" s="130"/>
      <c r="F30" s="130"/>
      <c r="G30" s="130"/>
      <c r="H30" s="130"/>
      <c r="I30" s="130"/>
      <c r="J30" s="130"/>
      <c r="K30" s="130"/>
      <c r="L30" s="130"/>
      <c r="M30" s="130"/>
      <c r="N30" s="131"/>
    </row>
    <row r="31" spans="2:13" ht="30" customHeight="1">
      <c r="B31" s="136">
        <v>1</v>
      </c>
      <c r="C31" s="172" t="s">
        <v>120</v>
      </c>
      <c r="D31" s="173"/>
      <c r="E31" s="173"/>
      <c r="F31" s="173"/>
      <c r="G31" s="173"/>
      <c r="H31" s="173"/>
      <c r="I31" s="173"/>
      <c r="J31" s="173"/>
      <c r="K31" s="173"/>
      <c r="L31" s="173"/>
      <c r="M31" s="105"/>
    </row>
    <row r="32" spans="2:13" ht="30" customHeight="1">
      <c r="B32" s="136">
        <v>2</v>
      </c>
      <c r="C32" s="172" t="s">
        <v>128</v>
      </c>
      <c r="D32" s="173"/>
      <c r="E32" s="173"/>
      <c r="F32" s="173"/>
      <c r="G32" s="173"/>
      <c r="H32" s="173"/>
      <c r="I32" s="173"/>
      <c r="J32" s="173"/>
      <c r="K32" s="173"/>
      <c r="L32" s="173"/>
      <c r="M32" s="105" t="s">
        <v>85</v>
      </c>
    </row>
    <row r="33" spans="2:13" ht="30" customHeight="1">
      <c r="B33" s="136">
        <v>3</v>
      </c>
      <c r="C33" s="172" t="s">
        <v>106</v>
      </c>
      <c r="D33" s="173"/>
      <c r="E33" s="173"/>
      <c r="F33" s="173"/>
      <c r="G33" s="173"/>
      <c r="H33" s="173"/>
      <c r="I33" s="173"/>
      <c r="J33" s="173"/>
      <c r="K33" s="173"/>
      <c r="L33" s="173"/>
      <c r="M33" s="105">
        <v>52</v>
      </c>
    </row>
    <row r="34" spans="2:13" ht="30" customHeight="1">
      <c r="B34" s="136">
        <v>4</v>
      </c>
      <c r="C34" s="172" t="s">
        <v>107</v>
      </c>
      <c r="D34" s="173"/>
      <c r="E34" s="173"/>
      <c r="F34" s="173"/>
      <c r="G34" s="173"/>
      <c r="H34" s="173"/>
      <c r="I34" s="173"/>
      <c r="J34" s="173"/>
      <c r="K34" s="173"/>
      <c r="L34" s="173"/>
      <c r="M34" s="105">
        <v>54</v>
      </c>
    </row>
    <row r="35" spans="2:13" ht="34.5" customHeight="1">
      <c r="B35" s="136">
        <v>5</v>
      </c>
      <c r="C35" s="172" t="s">
        <v>122</v>
      </c>
      <c r="D35" s="173"/>
      <c r="E35" s="173"/>
      <c r="F35" s="173"/>
      <c r="G35" s="173"/>
      <c r="H35" s="173"/>
      <c r="I35" s="173"/>
      <c r="J35" s="173"/>
      <c r="K35" s="173"/>
      <c r="L35" s="173"/>
      <c r="M35" s="105">
        <v>56</v>
      </c>
    </row>
    <row r="36" spans="2:13" ht="17.25" customHeight="1">
      <c r="B36" s="136">
        <v>6</v>
      </c>
      <c r="C36" s="172" t="s">
        <v>112</v>
      </c>
      <c r="D36" s="173"/>
      <c r="E36" s="173"/>
      <c r="F36" s="173"/>
      <c r="G36" s="173"/>
      <c r="H36" s="173"/>
      <c r="I36" s="173"/>
      <c r="J36" s="173"/>
      <c r="K36" s="173"/>
      <c r="L36" s="173"/>
      <c r="M36" s="105">
        <v>59</v>
      </c>
    </row>
    <row r="37" spans="2:13" ht="13.5">
      <c r="B37" s="136">
        <v>7</v>
      </c>
      <c r="C37" s="172" t="s">
        <v>108</v>
      </c>
      <c r="D37" s="173"/>
      <c r="E37" s="173"/>
      <c r="F37" s="173"/>
      <c r="G37" s="173"/>
      <c r="H37" s="173"/>
      <c r="I37" s="173"/>
      <c r="J37" s="173"/>
      <c r="K37" s="173"/>
      <c r="L37" s="173"/>
      <c r="M37" s="105">
        <v>60</v>
      </c>
    </row>
    <row r="38" spans="2:13" ht="13.5">
      <c r="B38" s="136">
        <v>8</v>
      </c>
      <c r="C38" s="172" t="s">
        <v>100</v>
      </c>
      <c r="D38" s="173"/>
      <c r="E38" s="173"/>
      <c r="F38" s="173"/>
      <c r="G38" s="173"/>
      <c r="H38" s="173"/>
      <c r="I38" s="173"/>
      <c r="J38" s="173"/>
      <c r="K38" s="173"/>
      <c r="L38" s="173"/>
      <c r="M38" s="105">
        <v>61</v>
      </c>
    </row>
    <row r="39" spans="2:13" ht="45" customHeight="1">
      <c r="B39" s="136">
        <v>9</v>
      </c>
      <c r="C39" s="172" t="s">
        <v>140</v>
      </c>
      <c r="D39" s="173"/>
      <c r="E39" s="173"/>
      <c r="F39" s="173"/>
      <c r="G39" s="173"/>
      <c r="H39" s="173"/>
      <c r="I39" s="173"/>
      <c r="J39" s="173"/>
      <c r="K39" s="173"/>
      <c r="L39" s="173"/>
      <c r="M39" s="105">
        <v>62</v>
      </c>
    </row>
    <row r="40" spans="2:13" ht="45" customHeight="1">
      <c r="B40" s="136">
        <v>10</v>
      </c>
      <c r="C40" s="172" t="s">
        <v>123</v>
      </c>
      <c r="D40" s="173"/>
      <c r="E40" s="173"/>
      <c r="F40" s="173"/>
      <c r="G40" s="173"/>
      <c r="H40" s="173"/>
      <c r="I40" s="173"/>
      <c r="J40" s="173"/>
      <c r="K40" s="173"/>
      <c r="L40" s="173"/>
      <c r="M40" s="105">
        <v>64</v>
      </c>
    </row>
    <row r="41" spans="2:13" ht="13.5">
      <c r="B41" s="136">
        <v>11</v>
      </c>
      <c r="C41" s="172" t="s">
        <v>121</v>
      </c>
      <c r="D41" s="172"/>
      <c r="E41" s="172"/>
      <c r="F41" s="172"/>
      <c r="G41" s="172"/>
      <c r="H41" s="172"/>
      <c r="I41" s="172"/>
      <c r="J41" s="172"/>
      <c r="K41" s="172"/>
      <c r="L41" s="172"/>
      <c r="M41" s="105">
        <v>65</v>
      </c>
    </row>
    <row r="42" spans="2:13" ht="30" customHeight="1">
      <c r="B42" s="136">
        <v>12</v>
      </c>
      <c r="C42" s="172" t="s">
        <v>101</v>
      </c>
      <c r="D42" s="173"/>
      <c r="E42" s="173"/>
      <c r="F42" s="173"/>
      <c r="G42" s="173"/>
      <c r="H42" s="173"/>
      <c r="I42" s="173"/>
      <c r="J42" s="173"/>
      <c r="K42" s="173"/>
      <c r="L42" s="173"/>
      <c r="M42" s="105">
        <v>68</v>
      </c>
    </row>
    <row r="43" spans="2:13" ht="15" customHeight="1">
      <c r="B43" s="136">
        <v>13</v>
      </c>
      <c r="C43" s="172" t="s">
        <v>111</v>
      </c>
      <c r="D43" s="173"/>
      <c r="E43" s="173"/>
      <c r="F43" s="173"/>
      <c r="G43" s="173"/>
      <c r="H43" s="173"/>
      <c r="I43" s="173"/>
      <c r="J43" s="173"/>
      <c r="K43" s="173"/>
      <c r="L43" s="173"/>
      <c r="M43" s="105">
        <v>69</v>
      </c>
    </row>
    <row r="44" spans="2:13" ht="13.5">
      <c r="B44" s="136">
        <v>14</v>
      </c>
      <c r="C44" s="172" t="s">
        <v>102</v>
      </c>
      <c r="D44" s="173"/>
      <c r="E44" s="173"/>
      <c r="F44" s="173"/>
      <c r="G44" s="173"/>
      <c r="H44" s="173"/>
      <c r="I44" s="173"/>
      <c r="J44" s="173"/>
      <c r="K44" s="173"/>
      <c r="L44" s="173"/>
      <c r="M44" s="105"/>
    </row>
    <row r="45" ht="12.75" customHeight="1">
      <c r="M45" s="100">
        <v>72</v>
      </c>
    </row>
    <row r="46" spans="2:13" ht="75" customHeight="1">
      <c r="B46" s="143" t="s">
        <v>103</v>
      </c>
      <c r="C46" s="172" t="s">
        <v>105</v>
      </c>
      <c r="D46" s="173"/>
      <c r="E46" s="173"/>
      <c r="F46" s="173"/>
      <c r="G46" s="173"/>
      <c r="H46" s="173"/>
      <c r="I46" s="173"/>
      <c r="J46" s="173"/>
      <c r="K46" s="173"/>
      <c r="L46" s="173"/>
      <c r="M46" s="100">
        <v>73</v>
      </c>
    </row>
    <row r="47" spans="2:12" ht="15" customHeight="1">
      <c r="B47" s="142"/>
      <c r="C47" s="141"/>
      <c r="D47" s="135"/>
      <c r="E47" s="135"/>
      <c r="F47" s="135"/>
      <c r="G47" s="135"/>
      <c r="H47" s="135"/>
      <c r="I47" s="135"/>
      <c r="J47" s="135"/>
      <c r="K47" s="135"/>
      <c r="L47" s="135"/>
    </row>
    <row r="48" spans="2:13" ht="17.25" customHeight="1">
      <c r="B48" s="134" t="str">
        <f ca="1">"Version20 (23Jan2024).  Printed on "&amp;TEXT(TODAY(),"dd mmmm yyyy")</f>
        <v>Version20 (23Jan2024).  Printed on 24 January 2024</v>
      </c>
      <c r="C48" s="102"/>
      <c r="D48" s="102"/>
      <c r="E48" s="105"/>
      <c r="F48" s="105"/>
      <c r="G48" s="105"/>
      <c r="H48" s="105"/>
      <c r="I48" s="105"/>
      <c r="J48" s="105"/>
      <c r="K48" s="105"/>
      <c r="L48" s="105"/>
      <c r="M48" s="105">
        <v>70</v>
      </c>
    </row>
    <row r="49" spans="2:13" ht="12.75" customHeight="1">
      <c r="B49" s="102" t="str">
        <f>"'as at' date "&amp;TEXT('calcs - classic'!B81,"dd mmmm yyyy")</f>
        <v>'as at' date 01 April 2024</v>
      </c>
      <c r="C49" s="102"/>
      <c r="M49" s="100">
        <v>71</v>
      </c>
    </row>
    <row r="50" ht="12.75">
      <c r="M50" s="100">
        <v>74</v>
      </c>
    </row>
    <row r="51" ht="12.75">
      <c r="M51" s="100">
        <v>75</v>
      </c>
    </row>
  </sheetData>
  <sheetProtection sheet="1" selectLockedCells="1"/>
  <mergeCells count="16">
    <mergeCell ref="C44:L44"/>
    <mergeCell ref="C46:L46"/>
    <mergeCell ref="E1:I1"/>
    <mergeCell ref="C31:L31"/>
    <mergeCell ref="C32:L32"/>
    <mergeCell ref="C33:L33"/>
    <mergeCell ref="C34:L34"/>
    <mergeCell ref="C36:L36"/>
    <mergeCell ref="C35:L35"/>
    <mergeCell ref="C38:L38"/>
    <mergeCell ref="C37:L37"/>
    <mergeCell ref="C39:L39"/>
    <mergeCell ref="C41:L41"/>
    <mergeCell ref="C43:L43"/>
    <mergeCell ref="C40:L40"/>
    <mergeCell ref="C42:L42"/>
  </mergeCells>
  <conditionalFormatting sqref="J17">
    <cfRule type="expression" priority="2" dxfId="5" stopIfTrue="1">
      <formula>$G$17="enter a date"</formula>
    </cfRule>
    <cfRule type="expression" priority="3" dxfId="3" stopIfTrue="1">
      <formula>$G$17&lt;&gt;"enter a date"</formula>
    </cfRule>
  </conditionalFormatting>
  <conditionalFormatting sqref="G28">
    <cfRule type="expression" priority="4" dxfId="2" stopIfTrue="1">
      <formula>$M$23=1</formula>
    </cfRule>
  </conditionalFormatting>
  <conditionalFormatting sqref="K15">
    <cfRule type="expression" priority="1" dxfId="1" stopIfTrue="1">
      <formula>$J$15=""</formula>
    </cfRule>
  </conditionalFormatting>
  <dataValidations count="8">
    <dataValidation type="date" allowBlank="1" showInputMessage="1" showErrorMessage="1" sqref="J17">
      <formula1>40039</formula1>
      <formula2>73415</formula2>
    </dataValidation>
    <dataValidation type="whole" allowBlank="1" showInputMessage="1" showErrorMessage="1" sqref="K15:K16">
      <formula1>1</formula1>
      <formula2>45</formula2>
    </dataValidation>
    <dataValidation type="list" allowBlank="1" showInputMessage="1" showErrorMessage="1" sqref="G9">
      <formula1>$M$6:$M$7</formula1>
    </dataValidation>
    <dataValidation type="list" allowBlank="1" showInputMessage="1" showErrorMessage="1" sqref="G16">
      <formula1>$M$15:$M$17</formula1>
    </dataValidation>
    <dataValidation type="list" allowBlank="1" showInputMessage="1" showErrorMessage="1" sqref="G15">
      <formula1>$M$15:$M$16</formula1>
    </dataValidation>
    <dataValidation type="date" allowBlank="1" showInputMessage="1" showErrorMessage="1" error="Please enter date in format dd/mm/yyyy - for example 25/12/1985" sqref="D8:D10 G7">
      <formula1>12055</formula1>
      <formula2>33239</formula2>
    </dataValidation>
    <dataValidation type="list" allowBlank="1" showInputMessage="1" showErrorMessage="1" sqref="G17">
      <formula1>retage2</formula1>
    </dataValidation>
    <dataValidation type="list" allowBlank="1" showInputMessage="1" showErrorMessage="1" sqref="G11">
      <formula1>"Yes,No"</formula1>
    </dataValidation>
  </dataValidations>
  <printOptions/>
  <pageMargins left="0.5511811023622047" right="0.5511811023622047" top="0.7874015748031497" bottom="0.7874015748031497" header="0.5118110236220472" footer="0.5118110236220472"/>
  <pageSetup fitToHeight="1" fitToWidth="1" horizontalDpi="600" verticalDpi="600" orientation="portrait" paperSize="9" scale="56" r:id="rId4"/>
  <drawing r:id="rId3"/>
  <legacyDrawing r:id="rId2"/>
</worksheet>
</file>

<file path=xl/worksheets/sheet2.xml><?xml version="1.0" encoding="utf-8"?>
<worksheet xmlns="http://schemas.openxmlformats.org/spreadsheetml/2006/main" xmlns:r="http://schemas.openxmlformats.org/officeDocument/2006/relationships">
  <dimension ref="A1:C18"/>
  <sheetViews>
    <sheetView zoomScalePageLayoutView="0" workbookViewId="0" topLeftCell="A1">
      <selection activeCell="A10" sqref="A10"/>
    </sheetView>
  </sheetViews>
  <sheetFormatPr defaultColWidth="9.140625" defaultRowHeight="12.75"/>
  <cols>
    <col min="2" max="2" width="12.8515625" style="169" customWidth="1"/>
  </cols>
  <sheetData>
    <row r="1" ht="12.75">
      <c r="A1" s="167" t="s">
        <v>127</v>
      </c>
    </row>
    <row r="3" spans="1:3" ht="12.75">
      <c r="A3" s="11" t="s">
        <v>135</v>
      </c>
      <c r="B3" s="168" t="s">
        <v>136</v>
      </c>
      <c r="C3" s="11" t="s">
        <v>124</v>
      </c>
    </row>
    <row r="4" spans="1:3" ht="12.75">
      <c r="A4" s="169">
        <v>20</v>
      </c>
      <c r="B4" s="170">
        <v>45314</v>
      </c>
      <c r="C4" t="s">
        <v>125</v>
      </c>
    </row>
    <row r="5" spans="1:3" ht="12.75">
      <c r="A5" s="169">
        <v>20</v>
      </c>
      <c r="B5" s="170">
        <v>45314</v>
      </c>
      <c r="C5" s="144" t="s">
        <v>133</v>
      </c>
    </row>
    <row r="6" spans="1:3" ht="12.75">
      <c r="A6" s="169">
        <v>20</v>
      </c>
      <c r="B6" s="170">
        <v>45314</v>
      </c>
      <c r="C6" t="s">
        <v>126</v>
      </c>
    </row>
    <row r="7" spans="1:3" ht="12.75">
      <c r="A7" s="169">
        <v>20</v>
      </c>
      <c r="B7" s="170">
        <v>45314</v>
      </c>
      <c r="C7" s="144" t="s">
        <v>137</v>
      </c>
    </row>
    <row r="8" spans="1:3" ht="12.75">
      <c r="A8" s="169">
        <v>20</v>
      </c>
      <c r="B8" s="170">
        <v>45314</v>
      </c>
      <c r="C8" s="144" t="s">
        <v>138</v>
      </c>
    </row>
    <row r="9" spans="1:3" ht="14.25">
      <c r="A9" s="169">
        <v>20</v>
      </c>
      <c r="B9" s="170">
        <v>45314</v>
      </c>
      <c r="C9" s="171" t="s">
        <v>141</v>
      </c>
    </row>
    <row r="10" ht="12.75">
      <c r="B10" s="170"/>
    </row>
    <row r="11" ht="12.75">
      <c r="B11" s="170"/>
    </row>
    <row r="12" ht="12.75">
      <c r="B12" s="170"/>
    </row>
    <row r="13" ht="12.75">
      <c r="B13" s="170"/>
    </row>
    <row r="14" ht="12.75">
      <c r="B14" s="170"/>
    </row>
    <row r="15" ht="12.75">
      <c r="B15" s="170"/>
    </row>
    <row r="16" ht="12.75">
      <c r="B16" s="170"/>
    </row>
    <row r="17" ht="12.75">
      <c r="B17" s="170"/>
    </row>
    <row r="18" ht="12.75">
      <c r="B18" s="170"/>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6"/>
  <dimension ref="A1:L28"/>
  <sheetViews>
    <sheetView zoomScalePageLayoutView="0" workbookViewId="0" topLeftCell="A1">
      <selection activeCell="C35" sqref="C35"/>
    </sheetView>
  </sheetViews>
  <sheetFormatPr defaultColWidth="9.140625" defaultRowHeight="12.75"/>
  <cols>
    <col min="1" max="1" width="21.7109375" style="0" customWidth="1"/>
    <col min="2" max="2" width="12.28125" style="11" customWidth="1"/>
    <col min="3" max="3" width="8.57421875" style="0" customWidth="1"/>
    <col min="4" max="4" width="10.421875" style="0" customWidth="1"/>
    <col min="5" max="6" width="10.28125" style="0" bestFit="1" customWidth="1"/>
    <col min="7" max="8" width="10.28125" style="0" customWidth="1"/>
    <col min="11" max="12" width="9.28125" style="0" hidden="1" customWidth="1"/>
  </cols>
  <sheetData>
    <row r="1" spans="1:9" ht="15.75">
      <c r="A1" s="76" t="s">
        <v>79</v>
      </c>
      <c r="B1" s="59"/>
      <c r="C1" s="47"/>
      <c r="D1" s="47"/>
      <c r="E1" s="47"/>
      <c r="F1" s="47"/>
      <c r="G1" s="47"/>
      <c r="H1" s="47"/>
      <c r="I1" s="47"/>
    </row>
    <row r="2" spans="1:9" ht="12.75">
      <c r="A2" s="47"/>
      <c r="B2" s="59"/>
      <c r="C2" s="47"/>
      <c r="D2" s="47"/>
      <c r="E2" s="60"/>
      <c r="F2" s="60"/>
      <c r="G2" s="47"/>
      <c r="H2" s="47"/>
      <c r="I2" s="47"/>
    </row>
    <row r="3" spans="1:9" ht="12.75">
      <c r="A3" s="47"/>
      <c r="B3" s="59"/>
      <c r="C3" s="47"/>
      <c r="D3" s="47"/>
      <c r="E3" s="47"/>
      <c r="F3" s="47"/>
      <c r="G3" s="47"/>
      <c r="H3" s="47"/>
      <c r="I3" s="47"/>
    </row>
    <row r="4" spans="1:9" ht="12.75">
      <c r="A4" s="47" t="s">
        <v>78</v>
      </c>
      <c r="B4" s="75" t="s">
        <v>76</v>
      </c>
      <c r="C4" s="47"/>
      <c r="D4" s="60">
        <f ca="1">IF(L5=2,B6,TODAY())</f>
        <v>45315</v>
      </c>
      <c r="E4" s="47"/>
      <c r="F4" s="47"/>
      <c r="G4" s="47"/>
      <c r="H4" s="47"/>
      <c r="I4" s="47"/>
    </row>
    <row r="5" spans="1:12" ht="12.75">
      <c r="A5" s="78" t="s">
        <v>80</v>
      </c>
      <c r="B5" s="59"/>
      <c r="C5" s="47"/>
      <c r="D5" s="60">
        <f>DATE((YEAR(D4)),MONTH(D4)-1,28)</f>
        <v>45288</v>
      </c>
      <c r="E5" s="79" t="s">
        <v>81</v>
      </c>
      <c r="F5" s="47"/>
      <c r="G5" s="47"/>
      <c r="H5" s="47"/>
      <c r="I5" s="47"/>
      <c r="K5" t="s">
        <v>76</v>
      </c>
      <c r="L5">
        <f>IF(B4=K6,2,1)</f>
        <v>1</v>
      </c>
    </row>
    <row r="6" spans="1:11" ht="12.75">
      <c r="A6" s="47">
        <f>IF(L5=2,"Enter quote date","")</f>
      </c>
      <c r="B6" s="57"/>
      <c r="C6" s="47"/>
      <c r="D6" s="77">
        <f ca="1">IF(D4&gt;TODAY()+31,"Quote date more than one month ahead","")</f>
      </c>
      <c r="E6" s="59"/>
      <c r="F6" s="47"/>
      <c r="G6" s="47"/>
      <c r="H6" s="47"/>
      <c r="I6" s="47"/>
      <c r="K6" t="s">
        <v>77</v>
      </c>
    </row>
    <row r="7" spans="1:9" ht="12.75">
      <c r="A7" s="47"/>
      <c r="B7" s="59"/>
      <c r="C7" s="47"/>
      <c r="D7" s="47"/>
      <c r="E7" s="47"/>
      <c r="F7" s="47"/>
      <c r="G7" s="47"/>
      <c r="H7" s="47"/>
      <c r="I7" s="47"/>
    </row>
    <row r="8" spans="1:9" ht="12.75">
      <c r="A8" s="47" t="s">
        <v>82</v>
      </c>
      <c r="B8" s="80" t="e">
        <f ca="1">IF(D4&lt;=TODAY(),VLOOKUP(MONTH(D4),B15:I26,YEAR(D4)-2005),VLOOKUP(MONTH(TODAY()),B15:G26,YEAR(TODAY())-2005))</f>
        <v>#REF!</v>
      </c>
      <c r="C8" s="47" t="s">
        <v>58</v>
      </c>
      <c r="D8" s="47"/>
      <c r="E8" s="47"/>
      <c r="F8" s="47"/>
      <c r="G8" s="47"/>
      <c r="H8" s="47"/>
      <c r="I8" s="47"/>
    </row>
    <row r="9" spans="1:9" ht="12.75">
      <c r="A9" s="46" t="s">
        <v>83</v>
      </c>
      <c r="B9" s="94">
        <v>0</v>
      </c>
      <c r="C9" s="47" t="s">
        <v>58</v>
      </c>
      <c r="D9" s="95" t="s">
        <v>89</v>
      </c>
      <c r="E9" s="95"/>
      <c r="F9" s="95"/>
      <c r="G9" s="95"/>
      <c r="H9" s="96"/>
      <c r="I9" s="47"/>
    </row>
    <row r="10" spans="1:9" ht="12.75">
      <c r="A10" s="47"/>
      <c r="B10" s="59"/>
      <c r="C10" s="47"/>
      <c r="D10" s="47"/>
      <c r="E10" s="47"/>
      <c r="F10" s="47"/>
      <c r="G10" s="47"/>
      <c r="H10" s="47"/>
      <c r="I10" s="47"/>
    </row>
    <row r="11" spans="1:9" ht="12.75">
      <c r="A11" s="61"/>
      <c r="B11" s="62"/>
      <c r="C11" s="62"/>
      <c r="D11" s="62"/>
      <c r="E11" s="62"/>
      <c r="F11" s="62"/>
      <c r="G11" s="62"/>
      <c r="H11" s="62"/>
      <c r="I11" s="63"/>
    </row>
    <row r="12" spans="1:9" ht="17.25">
      <c r="A12" s="64"/>
      <c r="B12" s="65" t="s">
        <v>90</v>
      </c>
      <c r="C12" s="66"/>
      <c r="D12" s="66"/>
      <c r="E12" s="66"/>
      <c r="F12" s="66"/>
      <c r="G12" s="66"/>
      <c r="H12" s="66"/>
      <c r="I12" s="67"/>
    </row>
    <row r="13" spans="1:9" ht="12.75">
      <c r="A13" s="64"/>
      <c r="B13" s="66"/>
      <c r="C13" s="66"/>
      <c r="D13" s="66"/>
      <c r="E13" s="66"/>
      <c r="F13" s="66"/>
      <c r="G13" s="66"/>
      <c r="H13" s="66"/>
      <c r="I13" s="67"/>
    </row>
    <row r="14" spans="1:9" ht="12.75">
      <c r="A14" s="64"/>
      <c r="B14" s="68" t="s">
        <v>75</v>
      </c>
      <c r="C14" s="66">
        <v>2007</v>
      </c>
      <c r="D14" s="66">
        <v>2008</v>
      </c>
      <c r="E14" s="66">
        <v>2009</v>
      </c>
      <c r="F14" s="66">
        <v>2010</v>
      </c>
      <c r="G14" s="66">
        <v>2011</v>
      </c>
      <c r="H14" s="66">
        <v>2012</v>
      </c>
      <c r="I14" s="67"/>
    </row>
    <row r="15" spans="1:9" ht="12.75">
      <c r="A15" s="64"/>
      <c r="B15" s="66">
        <v>1</v>
      </c>
      <c r="C15" s="87"/>
      <c r="D15" s="72">
        <v>1.13</v>
      </c>
      <c r="E15" s="72">
        <v>0.84</v>
      </c>
      <c r="F15" s="72">
        <v>0.6</v>
      </c>
      <c r="G15" s="92">
        <v>0.64</v>
      </c>
      <c r="H15" s="97">
        <v>1E-11</v>
      </c>
      <c r="I15" s="67"/>
    </row>
    <row r="16" spans="1:9" ht="12.75">
      <c r="A16" s="64"/>
      <c r="B16" s="66">
        <v>2</v>
      </c>
      <c r="C16" s="73"/>
      <c r="D16" s="55">
        <v>1.12</v>
      </c>
      <c r="E16" s="55">
        <v>0.93</v>
      </c>
      <c r="F16" s="55">
        <v>0.71</v>
      </c>
      <c r="G16" s="88">
        <v>0.8</v>
      </c>
      <c r="H16" s="98">
        <v>1E-11</v>
      </c>
      <c r="I16" s="67"/>
    </row>
    <row r="17" spans="1:9" ht="12.75">
      <c r="A17" s="64"/>
      <c r="B17" s="66">
        <v>3</v>
      </c>
      <c r="C17" s="73">
        <v>1.38</v>
      </c>
      <c r="D17" s="55">
        <v>1.03</v>
      </c>
      <c r="E17" s="55">
        <v>1.2</v>
      </c>
      <c r="F17" s="55">
        <v>0.83</v>
      </c>
      <c r="G17" s="88">
        <v>0.69</v>
      </c>
      <c r="H17" s="54">
        <v>0.02</v>
      </c>
      <c r="I17" s="67"/>
    </row>
    <row r="18" spans="1:9" ht="12.75">
      <c r="A18" s="64"/>
      <c r="B18" s="66">
        <v>4</v>
      </c>
      <c r="C18" s="73">
        <v>1.55</v>
      </c>
      <c r="D18" s="55">
        <v>1.02</v>
      </c>
      <c r="E18" s="55">
        <v>0.98</v>
      </c>
      <c r="F18" s="55">
        <v>0.64</v>
      </c>
      <c r="G18" s="88">
        <v>0.69</v>
      </c>
      <c r="H18" s="54">
        <v>0.01</v>
      </c>
      <c r="I18" s="67"/>
    </row>
    <row r="19" spans="1:9" ht="12.75">
      <c r="A19" s="64"/>
      <c r="B19" s="66">
        <v>5</v>
      </c>
      <c r="C19" s="73">
        <v>1.66</v>
      </c>
      <c r="D19" s="55">
        <v>1.05</v>
      </c>
      <c r="E19" s="55">
        <v>1.09</v>
      </c>
      <c r="F19" s="55">
        <v>0.72</v>
      </c>
      <c r="G19" s="88">
        <v>0.63</v>
      </c>
      <c r="H19" s="54">
        <v>0.05</v>
      </c>
      <c r="I19" s="67"/>
    </row>
    <row r="20" spans="1:9" ht="12.75">
      <c r="A20" s="64"/>
      <c r="B20" s="66">
        <v>6</v>
      </c>
      <c r="C20" s="73">
        <v>1.82</v>
      </c>
      <c r="D20" s="55">
        <v>1.18</v>
      </c>
      <c r="E20" s="55">
        <v>1.03</v>
      </c>
      <c r="F20" s="55">
        <v>0.76</v>
      </c>
      <c r="G20" s="88">
        <v>0.59</v>
      </c>
      <c r="H20" s="98">
        <v>1E-11</v>
      </c>
      <c r="I20" s="67"/>
    </row>
    <row r="21" spans="1:9" ht="12.75">
      <c r="A21" s="64"/>
      <c r="B21" s="66">
        <v>7</v>
      </c>
      <c r="C21" s="73">
        <v>1.8</v>
      </c>
      <c r="D21" s="55">
        <v>1.02</v>
      </c>
      <c r="E21" s="55">
        <v>0.9</v>
      </c>
      <c r="F21" s="55">
        <v>0.7</v>
      </c>
      <c r="G21" s="88">
        <v>0.58</v>
      </c>
      <c r="H21" s="99" t="s">
        <v>91</v>
      </c>
      <c r="I21" s="67"/>
    </row>
    <row r="22" spans="1:9" ht="12.75">
      <c r="A22" s="64"/>
      <c r="B22" s="66">
        <v>8</v>
      </c>
      <c r="C22" s="73">
        <v>1.64</v>
      </c>
      <c r="D22" s="55">
        <v>1.07</v>
      </c>
      <c r="E22" s="55">
        <v>0.94</v>
      </c>
      <c r="F22" s="55">
        <v>0.86</v>
      </c>
      <c r="G22" s="88">
        <v>0.43</v>
      </c>
      <c r="H22" s="54"/>
      <c r="I22" s="67"/>
    </row>
    <row r="23" spans="1:9" ht="12.75">
      <c r="A23" s="64"/>
      <c r="B23" s="66">
        <v>9</v>
      </c>
      <c r="C23" s="73">
        <v>1.51</v>
      </c>
      <c r="D23" s="55">
        <v>1</v>
      </c>
      <c r="E23" s="55">
        <v>0.67</v>
      </c>
      <c r="F23" s="55">
        <v>0.64</v>
      </c>
      <c r="G23" s="88">
        <v>0.4</v>
      </c>
      <c r="H23" s="54"/>
      <c r="I23" s="67"/>
    </row>
    <row r="24" spans="1:9" ht="12.75">
      <c r="A24" s="64"/>
      <c r="B24" s="66">
        <v>10</v>
      </c>
      <c r="C24" s="73">
        <v>1.48</v>
      </c>
      <c r="D24" s="55">
        <v>0.83</v>
      </c>
      <c r="E24" s="55">
        <v>0.61</v>
      </c>
      <c r="F24" s="55">
        <v>0.58</v>
      </c>
      <c r="G24" s="88">
        <v>0.23</v>
      </c>
      <c r="H24" s="54"/>
      <c r="I24" s="67"/>
    </row>
    <row r="25" spans="1:9" ht="12.75">
      <c r="A25" s="64"/>
      <c r="B25" s="66">
        <v>11</v>
      </c>
      <c r="C25" s="73">
        <v>1.42</v>
      </c>
      <c r="D25" s="55">
        <v>1.31</v>
      </c>
      <c r="E25" s="55">
        <v>0.57</v>
      </c>
      <c r="F25" s="55">
        <v>0.71</v>
      </c>
      <c r="G25" s="88">
        <v>0.22</v>
      </c>
      <c r="H25" s="54"/>
      <c r="I25" s="67"/>
    </row>
    <row r="26" spans="1:9" ht="12.75">
      <c r="A26" s="64"/>
      <c r="B26" s="66">
        <v>12</v>
      </c>
      <c r="C26" s="74">
        <v>1.23</v>
      </c>
      <c r="D26" s="56">
        <v>1.31</v>
      </c>
      <c r="E26" s="56">
        <v>0.5</v>
      </c>
      <c r="F26" s="56">
        <v>0.76</v>
      </c>
      <c r="G26" s="56">
        <v>1E-11</v>
      </c>
      <c r="H26" s="93"/>
      <c r="I26" s="67"/>
    </row>
    <row r="27" spans="1:9" ht="12.75">
      <c r="A27" s="64"/>
      <c r="B27" s="66"/>
      <c r="C27" s="66"/>
      <c r="D27" s="66"/>
      <c r="E27" s="66"/>
      <c r="F27" s="66"/>
      <c r="G27" s="66"/>
      <c r="H27" s="66"/>
      <c r="I27" s="67"/>
    </row>
    <row r="28" spans="1:9" ht="12.75">
      <c r="A28" s="69"/>
      <c r="B28" s="70"/>
      <c r="C28" s="70"/>
      <c r="D28" s="70"/>
      <c r="E28" s="70"/>
      <c r="F28" s="70"/>
      <c r="G28" s="70"/>
      <c r="H28" s="70"/>
      <c r="I28" s="71"/>
    </row>
  </sheetData>
  <sheetProtection/>
  <conditionalFormatting sqref="B6">
    <cfRule type="expression" priority="1" dxfId="6" stopIfTrue="1">
      <formula>$L$5=2</formula>
    </cfRule>
  </conditionalFormatting>
  <dataValidations count="1">
    <dataValidation type="list" allowBlank="1" showInputMessage="1" showErrorMessage="1" sqref="B4">
      <formula1>$K$5:$K$6</formula1>
    </dataValidation>
  </dataValidation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3">
    <pageSetUpPr fitToPage="1"/>
  </sheetPr>
  <dimension ref="A1:N128"/>
  <sheetViews>
    <sheetView zoomScalePageLayoutView="0" workbookViewId="0" topLeftCell="A1">
      <selection activeCell="K3" sqref="K3"/>
    </sheetView>
  </sheetViews>
  <sheetFormatPr defaultColWidth="9.140625" defaultRowHeight="12.75"/>
  <cols>
    <col min="1" max="1" width="15.28125" style="0" customWidth="1"/>
    <col min="2" max="5" width="9.28125" style="0" customWidth="1"/>
    <col min="6" max="6" width="15.28125" style="0" bestFit="1" customWidth="1"/>
    <col min="7" max="7" width="14.00390625" style="22" customWidth="1"/>
    <col min="8" max="8" width="10.421875" style="22" customWidth="1"/>
    <col min="10" max="10" width="13.00390625" style="0" customWidth="1"/>
  </cols>
  <sheetData>
    <row r="1" ht="12.75">
      <c r="G1" s="163" t="s">
        <v>129</v>
      </c>
    </row>
    <row r="2" spans="6:8" ht="12.75">
      <c r="F2" s="164" t="s">
        <v>130</v>
      </c>
      <c r="G2" s="165" t="s">
        <v>131</v>
      </c>
      <c r="H2" s="165" t="s">
        <v>132</v>
      </c>
    </row>
    <row r="3" spans="2:7" ht="12.75">
      <c r="B3" s="11" t="s">
        <v>60</v>
      </c>
      <c r="G3" s="48" t="s">
        <v>45</v>
      </c>
    </row>
    <row r="4" spans="2:9" s="1" customFormat="1" ht="26.25">
      <c r="B4" s="1" t="s">
        <v>16</v>
      </c>
      <c r="D4" s="1" t="s">
        <v>21</v>
      </c>
      <c r="G4" s="86" t="s">
        <v>114</v>
      </c>
      <c r="H4" s="86" t="s">
        <v>21</v>
      </c>
      <c r="I4" s="159"/>
    </row>
    <row r="5" spans="1:14" ht="26.25" customHeight="1">
      <c r="A5" t="s">
        <v>0</v>
      </c>
      <c r="B5" t="s">
        <v>1</v>
      </c>
      <c r="C5" t="s">
        <v>2</v>
      </c>
      <c r="D5" t="s">
        <v>1</v>
      </c>
      <c r="E5" t="s">
        <v>2</v>
      </c>
      <c r="F5" t="s">
        <v>0</v>
      </c>
      <c r="G5" s="22" t="s">
        <v>40</v>
      </c>
      <c r="H5" s="22" t="s">
        <v>40</v>
      </c>
      <c r="J5" s="1" t="s">
        <v>39</v>
      </c>
      <c r="N5" s="144" t="s">
        <v>109</v>
      </c>
    </row>
    <row r="6" spans="1:14" ht="12.75">
      <c r="A6">
        <v>16</v>
      </c>
      <c r="B6" s="36"/>
      <c r="C6" s="37"/>
      <c r="D6" s="30"/>
      <c r="E6" s="31"/>
      <c r="F6">
        <v>16</v>
      </c>
      <c r="G6" s="83">
        <v>13.7</v>
      </c>
      <c r="H6" s="27">
        <v>13.95</v>
      </c>
      <c r="I6" s="81"/>
      <c r="J6">
        <v>0</v>
      </c>
      <c r="K6" s="42">
        <v>1</v>
      </c>
      <c r="N6">
        <v>50</v>
      </c>
    </row>
    <row r="7" spans="1:14" ht="12.75">
      <c r="A7">
        <v>17</v>
      </c>
      <c r="B7" s="38"/>
      <c r="C7" s="39"/>
      <c r="D7" s="32"/>
      <c r="E7" s="33"/>
      <c r="F7">
        <v>17</v>
      </c>
      <c r="G7" s="84">
        <v>13.94</v>
      </c>
      <c r="H7" s="28">
        <v>14.2</v>
      </c>
      <c r="I7" s="2"/>
      <c r="J7">
        <v>1</v>
      </c>
      <c r="K7" s="43">
        <v>1</v>
      </c>
      <c r="N7">
        <v>51</v>
      </c>
    </row>
    <row r="8" spans="1:14" ht="12.75">
      <c r="A8">
        <v>18</v>
      </c>
      <c r="B8" s="38"/>
      <c r="C8" s="39"/>
      <c r="D8" s="32"/>
      <c r="E8" s="33"/>
      <c r="F8">
        <v>18</v>
      </c>
      <c r="G8" s="84">
        <v>14.19</v>
      </c>
      <c r="H8" s="28">
        <v>14.46</v>
      </c>
      <c r="I8" s="2"/>
      <c r="J8">
        <v>2</v>
      </c>
      <c r="K8" s="43">
        <v>1</v>
      </c>
      <c r="N8">
        <v>52</v>
      </c>
    </row>
    <row r="9" spans="1:14" ht="12.75">
      <c r="A9">
        <v>19</v>
      </c>
      <c r="B9" s="38"/>
      <c r="C9" s="39"/>
      <c r="D9" s="32"/>
      <c r="E9" s="33"/>
      <c r="F9">
        <v>19</v>
      </c>
      <c r="G9" s="84">
        <v>14.43</v>
      </c>
      <c r="H9" s="28">
        <v>14.7</v>
      </c>
      <c r="I9" s="2"/>
      <c r="J9">
        <v>3</v>
      </c>
      <c r="K9" s="43">
        <v>1</v>
      </c>
      <c r="N9">
        <v>53</v>
      </c>
    </row>
    <row r="10" spans="1:14" ht="12.75">
      <c r="A10">
        <v>20</v>
      </c>
      <c r="B10" s="38"/>
      <c r="C10" s="39"/>
      <c r="D10" s="32"/>
      <c r="E10" s="33"/>
      <c r="F10">
        <v>20</v>
      </c>
      <c r="G10" s="85">
        <v>14.65</v>
      </c>
      <c r="H10" s="28">
        <v>14.92</v>
      </c>
      <c r="I10" s="2"/>
      <c r="J10">
        <v>4</v>
      </c>
      <c r="K10" s="43">
        <v>1</v>
      </c>
      <c r="N10">
        <v>54</v>
      </c>
    </row>
    <row r="11" spans="1:14" ht="12.75">
      <c r="A11">
        <v>21</v>
      </c>
      <c r="B11" s="38"/>
      <c r="C11" s="39"/>
      <c r="D11" s="32"/>
      <c r="E11" s="33"/>
      <c r="F11">
        <v>21</v>
      </c>
      <c r="G11" s="84">
        <v>14.87</v>
      </c>
      <c r="H11" s="28">
        <v>15.15</v>
      </c>
      <c r="I11" s="2"/>
      <c r="J11">
        <v>5</v>
      </c>
      <c r="K11" s="43">
        <v>1</v>
      </c>
      <c r="N11">
        <v>55</v>
      </c>
    </row>
    <row r="12" spans="1:14" ht="12.75">
      <c r="A12">
        <v>22</v>
      </c>
      <c r="B12" s="38"/>
      <c r="C12" s="39"/>
      <c r="D12" s="32"/>
      <c r="E12" s="33"/>
      <c r="F12">
        <v>22</v>
      </c>
      <c r="G12" s="84">
        <v>15.09</v>
      </c>
      <c r="H12" s="28">
        <v>15.37</v>
      </c>
      <c r="I12" s="2"/>
      <c r="J12">
        <v>6</v>
      </c>
      <c r="K12" s="43">
        <v>1</v>
      </c>
      <c r="N12">
        <v>56</v>
      </c>
    </row>
    <row r="13" spans="1:14" ht="12.75">
      <c r="A13">
        <v>23</v>
      </c>
      <c r="B13" s="38"/>
      <c r="C13" s="39"/>
      <c r="D13" s="32"/>
      <c r="E13" s="33"/>
      <c r="F13">
        <v>23</v>
      </c>
      <c r="G13" s="84">
        <v>15.32</v>
      </c>
      <c r="H13" s="28">
        <v>15.6</v>
      </c>
      <c r="I13" s="2"/>
      <c r="J13">
        <v>7</v>
      </c>
      <c r="K13" s="43">
        <v>1</v>
      </c>
      <c r="N13">
        <v>57</v>
      </c>
    </row>
    <row r="14" spans="1:14" ht="12.75">
      <c r="A14">
        <v>24</v>
      </c>
      <c r="B14" s="38"/>
      <c r="C14" s="39"/>
      <c r="D14" s="32"/>
      <c r="E14" s="33"/>
      <c r="F14">
        <v>24</v>
      </c>
      <c r="G14" s="84">
        <v>15.55</v>
      </c>
      <c r="H14" s="28">
        <v>15.84</v>
      </c>
      <c r="I14" s="2"/>
      <c r="J14">
        <v>8</v>
      </c>
      <c r="K14" s="43">
        <v>1</v>
      </c>
      <c r="N14">
        <v>58</v>
      </c>
    </row>
    <row r="15" spans="1:14" ht="12.75">
      <c r="A15">
        <v>25</v>
      </c>
      <c r="B15" s="38"/>
      <c r="C15" s="39"/>
      <c r="D15" s="32"/>
      <c r="E15" s="33"/>
      <c r="F15">
        <v>25</v>
      </c>
      <c r="G15" s="85">
        <v>15.78</v>
      </c>
      <c r="H15" s="28">
        <v>16.08</v>
      </c>
      <c r="I15" s="2"/>
      <c r="J15">
        <v>9</v>
      </c>
      <c r="K15" s="43">
        <v>1</v>
      </c>
      <c r="N15">
        <v>59</v>
      </c>
    </row>
    <row r="16" spans="1:14" ht="12.75">
      <c r="A16">
        <v>26</v>
      </c>
      <c r="B16" s="38"/>
      <c r="C16" s="39"/>
      <c r="D16" s="32"/>
      <c r="E16" s="33"/>
      <c r="F16">
        <v>26</v>
      </c>
      <c r="G16" s="84">
        <v>16.02</v>
      </c>
      <c r="H16" s="28">
        <v>16.32</v>
      </c>
      <c r="I16" s="2"/>
      <c r="J16">
        <v>10</v>
      </c>
      <c r="K16" s="43">
        <v>1</v>
      </c>
      <c r="N16">
        <v>60</v>
      </c>
    </row>
    <row r="17" spans="1:14" ht="12.75">
      <c r="A17">
        <v>27</v>
      </c>
      <c r="B17" s="38"/>
      <c r="C17" s="39"/>
      <c r="D17" s="32"/>
      <c r="E17" s="33"/>
      <c r="F17">
        <v>27</v>
      </c>
      <c r="G17" s="84">
        <v>16.26</v>
      </c>
      <c r="H17" s="28">
        <v>16.56</v>
      </c>
      <c r="I17" s="2"/>
      <c r="J17">
        <v>11</v>
      </c>
      <c r="K17" s="43">
        <v>1</v>
      </c>
      <c r="N17">
        <v>61</v>
      </c>
    </row>
    <row r="18" spans="1:14" ht="12.75">
      <c r="A18">
        <v>28</v>
      </c>
      <c r="B18" s="38"/>
      <c r="C18" s="39"/>
      <c r="D18" s="32"/>
      <c r="E18" s="33"/>
      <c r="F18">
        <v>28</v>
      </c>
      <c r="G18" s="84">
        <v>16.51</v>
      </c>
      <c r="H18" s="28">
        <v>16.81</v>
      </c>
      <c r="I18" s="2"/>
      <c r="J18">
        <v>12</v>
      </c>
      <c r="K18" s="43">
        <v>1</v>
      </c>
      <c r="N18">
        <v>62</v>
      </c>
    </row>
    <row r="19" spans="1:14" ht="12.75">
      <c r="A19">
        <v>29</v>
      </c>
      <c r="B19" s="38"/>
      <c r="C19" s="39"/>
      <c r="D19" s="32"/>
      <c r="E19" s="33"/>
      <c r="F19">
        <v>29</v>
      </c>
      <c r="G19" s="84">
        <v>16.76</v>
      </c>
      <c r="H19" s="28">
        <v>17.07</v>
      </c>
      <c r="I19" s="2"/>
      <c r="J19">
        <v>13</v>
      </c>
      <c r="K19" s="43">
        <v>1</v>
      </c>
      <c r="N19">
        <v>63</v>
      </c>
    </row>
    <row r="20" spans="1:14" ht="12.75">
      <c r="A20">
        <v>30</v>
      </c>
      <c r="B20" s="38"/>
      <c r="C20" s="39"/>
      <c r="D20" s="32"/>
      <c r="E20" s="33"/>
      <c r="F20">
        <v>30</v>
      </c>
      <c r="G20" s="85">
        <v>17.01</v>
      </c>
      <c r="H20" s="28">
        <v>17.32</v>
      </c>
      <c r="I20" s="2"/>
      <c r="J20">
        <v>14</v>
      </c>
      <c r="K20" s="43">
        <v>1</v>
      </c>
      <c r="N20">
        <v>64</v>
      </c>
    </row>
    <row r="21" spans="1:14" ht="12.75">
      <c r="A21">
        <v>31</v>
      </c>
      <c r="B21" s="38"/>
      <c r="C21" s="39"/>
      <c r="D21" s="32"/>
      <c r="E21" s="33"/>
      <c r="F21">
        <v>31</v>
      </c>
      <c r="G21" s="84">
        <v>17.26</v>
      </c>
      <c r="H21" s="28">
        <v>17.58</v>
      </c>
      <c r="I21" s="2"/>
      <c r="J21">
        <v>15</v>
      </c>
      <c r="K21" s="43">
        <v>1</v>
      </c>
      <c r="N21">
        <v>65</v>
      </c>
    </row>
    <row r="22" spans="1:14" ht="12.75">
      <c r="A22">
        <v>32</v>
      </c>
      <c r="B22" s="38"/>
      <c r="C22" s="39"/>
      <c r="D22" s="32"/>
      <c r="E22" s="33"/>
      <c r="F22">
        <v>32</v>
      </c>
      <c r="G22" s="84">
        <v>17.52</v>
      </c>
      <c r="H22" s="28">
        <v>17.84</v>
      </c>
      <c r="I22" s="2"/>
      <c r="J22">
        <v>16</v>
      </c>
      <c r="K22" s="43">
        <v>1</v>
      </c>
      <c r="N22">
        <v>66</v>
      </c>
    </row>
    <row r="23" spans="1:14" ht="12.75">
      <c r="A23">
        <v>33</v>
      </c>
      <c r="B23" s="38"/>
      <c r="C23" s="39"/>
      <c r="D23" s="32"/>
      <c r="E23" s="33"/>
      <c r="F23">
        <v>33</v>
      </c>
      <c r="G23" s="84">
        <v>17.78</v>
      </c>
      <c r="H23" s="28">
        <v>18.11</v>
      </c>
      <c r="I23" s="2"/>
      <c r="J23">
        <v>17</v>
      </c>
      <c r="K23" s="43">
        <v>1</v>
      </c>
      <c r="N23">
        <v>67</v>
      </c>
    </row>
    <row r="24" spans="1:14" ht="12.75">
      <c r="A24">
        <v>34</v>
      </c>
      <c r="B24" s="38"/>
      <c r="C24" s="39"/>
      <c r="D24" s="32"/>
      <c r="E24" s="33"/>
      <c r="F24">
        <v>34</v>
      </c>
      <c r="G24" s="84">
        <v>18.04</v>
      </c>
      <c r="H24" s="28">
        <v>18.38</v>
      </c>
      <c r="I24" s="2"/>
      <c r="J24">
        <v>18</v>
      </c>
      <c r="K24" s="43">
        <v>1</v>
      </c>
      <c r="N24">
        <v>68</v>
      </c>
    </row>
    <row r="25" spans="1:14" ht="12.75">
      <c r="A25">
        <v>35</v>
      </c>
      <c r="B25" s="38"/>
      <c r="C25" s="39"/>
      <c r="D25" s="32"/>
      <c r="E25" s="33"/>
      <c r="F25">
        <v>35</v>
      </c>
      <c r="G25" s="85">
        <v>18.31</v>
      </c>
      <c r="H25" s="28">
        <v>18.65</v>
      </c>
      <c r="I25" s="2"/>
      <c r="J25">
        <v>19</v>
      </c>
      <c r="K25" s="43">
        <v>1</v>
      </c>
      <c r="N25">
        <v>69</v>
      </c>
    </row>
    <row r="26" spans="1:14" ht="12.75">
      <c r="A26">
        <v>36</v>
      </c>
      <c r="B26" s="38"/>
      <c r="C26" s="39"/>
      <c r="D26" s="32"/>
      <c r="E26" s="33"/>
      <c r="F26">
        <v>36</v>
      </c>
      <c r="G26" s="84">
        <v>18.58</v>
      </c>
      <c r="H26" s="28">
        <v>18.93</v>
      </c>
      <c r="I26" s="2"/>
      <c r="J26">
        <v>20</v>
      </c>
      <c r="K26" s="43">
        <v>1</v>
      </c>
      <c r="N26">
        <v>70</v>
      </c>
    </row>
    <row r="27" spans="1:14" ht="12.75">
      <c r="A27">
        <v>37</v>
      </c>
      <c r="B27" s="38"/>
      <c r="C27" s="39"/>
      <c r="D27" s="32"/>
      <c r="E27" s="33"/>
      <c r="F27">
        <v>37</v>
      </c>
      <c r="G27" s="84">
        <v>18.86</v>
      </c>
      <c r="H27" s="28">
        <v>19.21</v>
      </c>
      <c r="I27" s="2"/>
      <c r="J27">
        <v>21</v>
      </c>
      <c r="K27" s="43">
        <v>1</v>
      </c>
      <c r="N27">
        <v>71</v>
      </c>
    </row>
    <row r="28" spans="1:14" ht="12.75">
      <c r="A28">
        <v>38</v>
      </c>
      <c r="B28" s="38"/>
      <c r="C28" s="39"/>
      <c r="D28" s="32"/>
      <c r="E28" s="33"/>
      <c r="F28">
        <v>38</v>
      </c>
      <c r="G28" s="84">
        <v>19.13</v>
      </c>
      <c r="H28" s="28">
        <v>19.49</v>
      </c>
      <c r="I28" s="2"/>
      <c r="J28">
        <v>22</v>
      </c>
      <c r="K28" s="43">
        <v>1</v>
      </c>
      <c r="N28">
        <v>72</v>
      </c>
    </row>
    <row r="29" spans="1:14" ht="12.75">
      <c r="A29">
        <v>39</v>
      </c>
      <c r="B29" s="38"/>
      <c r="C29" s="39"/>
      <c r="D29" s="32"/>
      <c r="E29" s="33"/>
      <c r="F29">
        <v>39</v>
      </c>
      <c r="G29" s="84">
        <v>19.42</v>
      </c>
      <c r="H29" s="28">
        <v>19.78</v>
      </c>
      <c r="I29" s="2"/>
      <c r="J29">
        <v>23</v>
      </c>
      <c r="K29" s="43">
        <v>1</v>
      </c>
      <c r="N29">
        <v>73</v>
      </c>
    </row>
    <row r="30" spans="1:14" ht="12.75">
      <c r="A30">
        <v>40</v>
      </c>
      <c r="B30" s="38"/>
      <c r="C30" s="39"/>
      <c r="D30" s="32"/>
      <c r="E30" s="33"/>
      <c r="F30">
        <v>40</v>
      </c>
      <c r="G30" s="85">
        <v>19.7</v>
      </c>
      <c r="H30" s="28">
        <v>20.07</v>
      </c>
      <c r="I30" s="2"/>
      <c r="J30">
        <v>24</v>
      </c>
      <c r="K30" s="43">
        <v>1</v>
      </c>
      <c r="N30">
        <v>74</v>
      </c>
    </row>
    <row r="31" spans="1:14" ht="12.75">
      <c r="A31">
        <v>41</v>
      </c>
      <c r="B31" s="38"/>
      <c r="C31" s="39"/>
      <c r="D31" s="32"/>
      <c r="E31" s="33"/>
      <c r="F31">
        <v>41</v>
      </c>
      <c r="G31" s="84">
        <v>19.99</v>
      </c>
      <c r="H31" s="28">
        <v>20.36</v>
      </c>
      <c r="I31" s="2"/>
      <c r="J31">
        <v>25</v>
      </c>
      <c r="K31" s="43">
        <v>1</v>
      </c>
      <c r="N31">
        <v>75</v>
      </c>
    </row>
    <row r="32" spans="1:14" ht="12.75">
      <c r="A32">
        <v>42</v>
      </c>
      <c r="B32" s="38"/>
      <c r="C32" s="39"/>
      <c r="D32" s="32"/>
      <c r="E32" s="33"/>
      <c r="F32">
        <v>42</v>
      </c>
      <c r="G32" s="84">
        <v>20.29</v>
      </c>
      <c r="H32" s="28">
        <v>20.67</v>
      </c>
      <c r="I32" s="2"/>
      <c r="J32">
        <v>26</v>
      </c>
      <c r="K32" s="43">
        <v>1</v>
      </c>
      <c r="N32">
        <v>123</v>
      </c>
    </row>
    <row r="33" spans="1:11" ht="12.75">
      <c r="A33">
        <v>43</v>
      </c>
      <c r="B33" s="38"/>
      <c r="C33" s="39"/>
      <c r="D33" s="32"/>
      <c r="E33" s="33"/>
      <c r="F33">
        <v>43</v>
      </c>
      <c r="G33" s="84">
        <v>20.59</v>
      </c>
      <c r="H33" s="28">
        <v>20.97</v>
      </c>
      <c r="I33" s="2"/>
      <c r="J33">
        <v>27</v>
      </c>
      <c r="K33" s="43">
        <v>1</v>
      </c>
    </row>
    <row r="34" spans="1:11" ht="12.75">
      <c r="A34">
        <v>44</v>
      </c>
      <c r="B34" s="38"/>
      <c r="C34" s="39"/>
      <c r="D34" s="32"/>
      <c r="E34" s="33"/>
      <c r="F34">
        <v>44</v>
      </c>
      <c r="G34" s="84">
        <v>20.89</v>
      </c>
      <c r="H34" s="28">
        <v>21.28</v>
      </c>
      <c r="I34" s="2"/>
      <c r="J34">
        <v>28</v>
      </c>
      <c r="K34" s="43">
        <v>1</v>
      </c>
    </row>
    <row r="35" spans="1:11" ht="12.75">
      <c r="A35">
        <v>45</v>
      </c>
      <c r="B35" s="38"/>
      <c r="C35" s="39"/>
      <c r="D35" s="32"/>
      <c r="E35" s="33"/>
      <c r="F35">
        <v>45</v>
      </c>
      <c r="G35" s="85">
        <v>21.2</v>
      </c>
      <c r="H35" s="28">
        <v>21.6</v>
      </c>
      <c r="I35" s="2"/>
      <c r="J35">
        <v>29</v>
      </c>
      <c r="K35" s="43">
        <v>1</v>
      </c>
    </row>
    <row r="36" spans="1:11" ht="12.75">
      <c r="A36">
        <v>46</v>
      </c>
      <c r="B36" s="38"/>
      <c r="C36" s="39"/>
      <c r="D36" s="32"/>
      <c r="E36" s="33"/>
      <c r="F36">
        <v>46</v>
      </c>
      <c r="G36" s="84">
        <v>21.52</v>
      </c>
      <c r="H36" s="28">
        <v>21.92</v>
      </c>
      <c r="I36" s="2"/>
      <c r="J36">
        <v>30</v>
      </c>
      <c r="K36" s="43">
        <v>1</v>
      </c>
    </row>
    <row r="37" spans="1:11" ht="12.75">
      <c r="A37">
        <v>47</v>
      </c>
      <c r="B37" s="38"/>
      <c r="C37" s="39"/>
      <c r="D37" s="32"/>
      <c r="E37" s="33"/>
      <c r="F37">
        <v>47</v>
      </c>
      <c r="G37" s="84">
        <v>21.84</v>
      </c>
      <c r="H37" s="28">
        <v>22.24</v>
      </c>
      <c r="I37" s="2"/>
      <c r="J37">
        <v>31</v>
      </c>
      <c r="K37" s="43">
        <v>1</v>
      </c>
    </row>
    <row r="38" spans="1:11" ht="12.75">
      <c r="A38">
        <v>48</v>
      </c>
      <c r="B38" s="38"/>
      <c r="C38" s="39"/>
      <c r="D38" s="32"/>
      <c r="E38" s="33"/>
      <c r="F38">
        <v>48</v>
      </c>
      <c r="G38" s="84">
        <v>22.16</v>
      </c>
      <c r="H38" s="28">
        <v>22.57</v>
      </c>
      <c r="I38" s="2"/>
      <c r="J38">
        <v>32</v>
      </c>
      <c r="K38" s="43">
        <v>1</v>
      </c>
    </row>
    <row r="39" spans="1:11" ht="12.75">
      <c r="A39">
        <v>49</v>
      </c>
      <c r="B39" s="38"/>
      <c r="C39" s="39"/>
      <c r="D39" s="32"/>
      <c r="E39" s="33"/>
      <c r="F39">
        <v>49</v>
      </c>
      <c r="G39" s="84">
        <v>22.49</v>
      </c>
      <c r="H39" s="28">
        <v>22.91</v>
      </c>
      <c r="I39" s="2"/>
      <c r="J39">
        <v>33</v>
      </c>
      <c r="K39" s="43">
        <v>1</v>
      </c>
    </row>
    <row r="40" spans="1:11" ht="12.75">
      <c r="A40">
        <v>50</v>
      </c>
      <c r="B40" s="38"/>
      <c r="C40" s="39"/>
      <c r="D40" s="32"/>
      <c r="E40" s="33"/>
      <c r="F40">
        <v>50</v>
      </c>
      <c r="G40" s="85">
        <v>22.83</v>
      </c>
      <c r="H40" s="28">
        <v>23.25</v>
      </c>
      <c r="I40" s="2"/>
      <c r="J40">
        <v>34</v>
      </c>
      <c r="K40" s="43">
        <v>1</v>
      </c>
    </row>
    <row r="41" spans="1:11" ht="12.75">
      <c r="A41">
        <v>51</v>
      </c>
      <c r="B41" s="38"/>
      <c r="C41" s="39"/>
      <c r="D41" s="32"/>
      <c r="E41" s="33"/>
      <c r="F41">
        <v>51</v>
      </c>
      <c r="G41" s="84">
        <v>23.17</v>
      </c>
      <c r="H41" s="28">
        <v>23.6</v>
      </c>
      <c r="I41" s="2"/>
      <c r="J41">
        <v>35</v>
      </c>
      <c r="K41" s="43">
        <v>1</v>
      </c>
    </row>
    <row r="42" spans="1:11" ht="12.75">
      <c r="A42">
        <v>52</v>
      </c>
      <c r="B42" s="38"/>
      <c r="C42" s="39"/>
      <c r="D42" s="32"/>
      <c r="E42" s="33"/>
      <c r="F42">
        <v>52</v>
      </c>
      <c r="G42" s="84">
        <v>23.53</v>
      </c>
      <c r="H42" s="28">
        <v>23.96</v>
      </c>
      <c r="I42" s="2"/>
      <c r="J42">
        <v>36</v>
      </c>
      <c r="K42" s="43">
        <v>1</v>
      </c>
    </row>
    <row r="43" spans="1:11" ht="12.75">
      <c r="A43">
        <v>53</v>
      </c>
      <c r="B43" s="38"/>
      <c r="C43" s="39"/>
      <c r="D43" s="32"/>
      <c r="E43" s="33"/>
      <c r="F43">
        <v>53</v>
      </c>
      <c r="G43" s="84">
        <v>23.89</v>
      </c>
      <c r="H43" s="28">
        <v>24.33</v>
      </c>
      <c r="I43" s="2"/>
      <c r="J43">
        <v>37</v>
      </c>
      <c r="K43" s="43">
        <v>1</v>
      </c>
    </row>
    <row r="44" spans="1:11" ht="12.75">
      <c r="A44">
        <v>54</v>
      </c>
      <c r="B44" s="38"/>
      <c r="C44" s="39"/>
      <c r="D44" s="32"/>
      <c r="E44" s="33"/>
      <c r="F44">
        <v>54</v>
      </c>
      <c r="G44" s="84">
        <v>24.25</v>
      </c>
      <c r="H44" s="28">
        <v>24.7</v>
      </c>
      <c r="I44" s="2"/>
      <c r="J44">
        <v>38</v>
      </c>
      <c r="K44" s="43">
        <v>1</v>
      </c>
    </row>
    <row r="45" spans="1:11" ht="12.75">
      <c r="A45">
        <v>55</v>
      </c>
      <c r="B45" s="38"/>
      <c r="C45" s="39"/>
      <c r="D45" s="32"/>
      <c r="E45" s="33"/>
      <c r="F45">
        <v>55</v>
      </c>
      <c r="G45" s="85">
        <v>24.63</v>
      </c>
      <c r="H45" s="28">
        <v>25.09</v>
      </c>
      <c r="I45" s="2"/>
      <c r="J45">
        <v>39</v>
      </c>
      <c r="K45" s="43">
        <v>1</v>
      </c>
    </row>
    <row r="46" spans="1:11" ht="12.75">
      <c r="A46">
        <v>56</v>
      </c>
      <c r="B46" s="38"/>
      <c r="C46" s="39"/>
      <c r="D46" s="32"/>
      <c r="E46" s="33"/>
      <c r="F46">
        <v>56</v>
      </c>
      <c r="G46" s="84">
        <v>25.02</v>
      </c>
      <c r="H46" s="28">
        <v>25.49</v>
      </c>
      <c r="I46" s="2"/>
      <c r="J46">
        <v>40</v>
      </c>
      <c r="K46" s="43">
        <v>1</v>
      </c>
    </row>
    <row r="47" spans="1:11" ht="12.75">
      <c r="A47">
        <v>57</v>
      </c>
      <c r="B47" s="38"/>
      <c r="C47" s="39"/>
      <c r="D47" s="32"/>
      <c r="E47" s="33"/>
      <c r="F47">
        <v>57</v>
      </c>
      <c r="G47" s="84">
        <v>25.43</v>
      </c>
      <c r="H47" s="28">
        <v>25.9</v>
      </c>
      <c r="I47" s="2"/>
      <c r="J47">
        <v>41</v>
      </c>
      <c r="K47" s="43">
        <v>1</v>
      </c>
    </row>
    <row r="48" spans="1:11" ht="12.75">
      <c r="A48">
        <v>58</v>
      </c>
      <c r="B48" s="38"/>
      <c r="C48" s="39"/>
      <c r="D48" s="32"/>
      <c r="E48" s="33"/>
      <c r="F48">
        <v>58</v>
      </c>
      <c r="G48" s="84">
        <v>25.84</v>
      </c>
      <c r="H48" s="28">
        <v>26.32</v>
      </c>
      <c r="I48" s="2"/>
      <c r="J48">
        <v>42</v>
      </c>
      <c r="K48" s="43">
        <v>1</v>
      </c>
    </row>
    <row r="49" spans="1:11" ht="12.75">
      <c r="A49">
        <v>59</v>
      </c>
      <c r="B49" s="38"/>
      <c r="C49" s="39"/>
      <c r="D49" s="32"/>
      <c r="E49" s="33"/>
      <c r="F49">
        <v>59</v>
      </c>
      <c r="G49" s="84">
        <v>26.27</v>
      </c>
      <c r="H49" s="28">
        <v>26.76</v>
      </c>
      <c r="I49" s="2"/>
      <c r="J49">
        <v>43</v>
      </c>
      <c r="K49" s="43">
        <v>1</v>
      </c>
    </row>
    <row r="50" spans="1:11" ht="12.75">
      <c r="A50">
        <v>60</v>
      </c>
      <c r="B50" s="38"/>
      <c r="C50" s="39"/>
      <c r="D50" s="32"/>
      <c r="E50" s="33"/>
      <c r="F50">
        <v>60</v>
      </c>
      <c r="G50" s="85">
        <v>26.19</v>
      </c>
      <c r="H50" s="28">
        <v>26.68</v>
      </c>
      <c r="I50" s="2"/>
      <c r="J50">
        <v>44</v>
      </c>
      <c r="K50" s="43">
        <v>1</v>
      </c>
    </row>
    <row r="51" spans="1:11" ht="12.75">
      <c r="A51">
        <v>61</v>
      </c>
      <c r="B51" s="38"/>
      <c r="C51" s="39"/>
      <c r="D51" s="32"/>
      <c r="E51" s="33"/>
      <c r="F51">
        <v>61</v>
      </c>
      <c r="G51" s="84">
        <v>25.59</v>
      </c>
      <c r="H51" s="28">
        <v>26.06</v>
      </c>
      <c r="I51" s="2"/>
      <c r="J51">
        <v>45</v>
      </c>
      <c r="K51" s="43">
        <v>1</v>
      </c>
    </row>
    <row r="52" spans="1:11" ht="12.75">
      <c r="A52">
        <v>62</v>
      </c>
      <c r="B52" s="38"/>
      <c r="C52" s="39"/>
      <c r="D52" s="32"/>
      <c r="E52" s="33"/>
      <c r="F52">
        <v>62</v>
      </c>
      <c r="G52" s="84">
        <v>24.98</v>
      </c>
      <c r="H52" s="28">
        <v>25.44</v>
      </c>
      <c r="I52" s="2"/>
      <c r="J52">
        <v>46</v>
      </c>
      <c r="K52" s="43">
        <v>1</v>
      </c>
    </row>
    <row r="53" spans="1:11" ht="12.75">
      <c r="A53">
        <v>63</v>
      </c>
      <c r="B53" s="38"/>
      <c r="C53" s="39"/>
      <c r="D53" s="32"/>
      <c r="E53" s="33"/>
      <c r="F53">
        <v>63</v>
      </c>
      <c r="G53" s="84">
        <v>24.36</v>
      </c>
      <c r="H53" s="28">
        <v>24.81</v>
      </c>
      <c r="I53" s="2"/>
      <c r="J53">
        <v>47</v>
      </c>
      <c r="K53" s="43">
        <v>1</v>
      </c>
    </row>
    <row r="54" spans="1:11" ht="12.75">
      <c r="A54">
        <v>64</v>
      </c>
      <c r="B54" s="38"/>
      <c r="C54" s="39"/>
      <c r="D54" s="32"/>
      <c r="E54" s="33"/>
      <c r="F54">
        <v>64</v>
      </c>
      <c r="G54" s="84">
        <v>23.74</v>
      </c>
      <c r="H54" s="28">
        <v>24.18</v>
      </c>
      <c r="I54" s="2"/>
      <c r="J54">
        <v>48</v>
      </c>
      <c r="K54" s="43">
        <v>1</v>
      </c>
    </row>
    <row r="55" spans="1:11" ht="12.75">
      <c r="A55">
        <v>65</v>
      </c>
      <c r="B55" s="38"/>
      <c r="C55" s="39"/>
      <c r="D55" s="32"/>
      <c r="E55" s="33"/>
      <c r="F55">
        <v>65</v>
      </c>
      <c r="G55" s="85">
        <v>23.12</v>
      </c>
      <c r="H55" s="28">
        <v>23.54</v>
      </c>
      <c r="I55" s="2"/>
      <c r="J55">
        <v>49</v>
      </c>
      <c r="K55" s="43">
        <v>1</v>
      </c>
    </row>
    <row r="56" spans="1:11" ht="12.75">
      <c r="A56">
        <v>66</v>
      </c>
      <c r="B56" s="38"/>
      <c r="C56" s="39"/>
      <c r="D56" s="32"/>
      <c r="E56" s="33"/>
      <c r="F56">
        <v>66</v>
      </c>
      <c r="G56" s="84">
        <v>22.49</v>
      </c>
      <c r="H56" s="28">
        <v>22.9</v>
      </c>
      <c r="I56" s="2"/>
      <c r="J56">
        <v>50</v>
      </c>
      <c r="K56" s="44">
        <v>1</v>
      </c>
    </row>
    <row r="57" spans="1:11" ht="12.75">
      <c r="A57">
        <v>67</v>
      </c>
      <c r="B57" s="38"/>
      <c r="C57" s="39"/>
      <c r="D57" s="32"/>
      <c r="E57" s="33"/>
      <c r="F57">
        <v>67</v>
      </c>
      <c r="G57" s="84">
        <v>21.86</v>
      </c>
      <c r="H57" s="28">
        <v>22.26</v>
      </c>
      <c r="I57" s="2"/>
      <c r="K57" s="23"/>
    </row>
    <row r="58" spans="1:11" ht="12.75">
      <c r="A58">
        <v>68</v>
      </c>
      <c r="B58" s="38"/>
      <c r="C58" s="39"/>
      <c r="D58" s="32"/>
      <c r="E58" s="33"/>
      <c r="F58">
        <v>68</v>
      </c>
      <c r="G58" s="84">
        <v>21.22</v>
      </c>
      <c r="H58" s="28">
        <v>21.61</v>
      </c>
      <c r="I58" s="2"/>
      <c r="K58" s="23"/>
    </row>
    <row r="59" spans="1:11" ht="12.75">
      <c r="A59">
        <v>69</v>
      </c>
      <c r="B59" s="38"/>
      <c r="C59" s="39"/>
      <c r="D59" s="32"/>
      <c r="E59" s="33"/>
      <c r="F59">
        <v>69</v>
      </c>
      <c r="G59" s="84">
        <v>20.59</v>
      </c>
      <c r="H59" s="28">
        <v>20.97</v>
      </c>
      <c r="I59" s="2"/>
      <c r="K59" s="23"/>
    </row>
    <row r="60" spans="1:11" ht="12.75">
      <c r="A60">
        <v>70</v>
      </c>
      <c r="B60" s="38"/>
      <c r="C60" s="39"/>
      <c r="D60" s="32"/>
      <c r="E60" s="33"/>
      <c r="F60">
        <v>70</v>
      </c>
      <c r="G60" s="85">
        <v>19.95</v>
      </c>
      <c r="H60" s="28">
        <v>20.32</v>
      </c>
      <c r="I60" s="2"/>
      <c r="K60" s="23"/>
    </row>
    <row r="61" spans="1:11" ht="12.75">
      <c r="A61">
        <v>71</v>
      </c>
      <c r="B61" s="38"/>
      <c r="C61" s="39"/>
      <c r="D61" s="32"/>
      <c r="E61" s="33"/>
      <c r="F61">
        <v>71</v>
      </c>
      <c r="G61" s="84">
        <v>19.31</v>
      </c>
      <c r="H61" s="28">
        <v>19.67</v>
      </c>
      <c r="I61" s="2"/>
      <c r="K61" s="23"/>
    </row>
    <row r="62" spans="1:11" ht="12.75">
      <c r="A62">
        <v>72</v>
      </c>
      <c r="B62" s="38"/>
      <c r="C62" s="39"/>
      <c r="D62" s="32"/>
      <c r="E62" s="33"/>
      <c r="F62">
        <v>72</v>
      </c>
      <c r="G62" s="84">
        <v>18.68</v>
      </c>
      <c r="H62" s="28">
        <v>19.02</v>
      </c>
      <c r="I62" s="2"/>
      <c r="K62" s="23"/>
    </row>
    <row r="63" spans="1:8" ht="12.75">
      <c r="A63">
        <v>73</v>
      </c>
      <c r="B63" s="38"/>
      <c r="C63" s="39"/>
      <c r="D63" s="32"/>
      <c r="E63" s="33"/>
      <c r="F63">
        <v>73</v>
      </c>
      <c r="G63" s="84">
        <v>18.05</v>
      </c>
      <c r="H63" s="28">
        <v>18.38</v>
      </c>
    </row>
    <row r="64" spans="1:8" ht="12.75">
      <c r="A64">
        <v>74</v>
      </c>
      <c r="B64" s="38"/>
      <c r="C64" s="39"/>
      <c r="D64" s="32"/>
      <c r="E64" s="33"/>
      <c r="F64">
        <v>74</v>
      </c>
      <c r="G64" s="84">
        <v>17.42</v>
      </c>
      <c r="H64" s="28">
        <v>17.74</v>
      </c>
    </row>
    <row r="65" spans="1:8" ht="12.75">
      <c r="A65">
        <v>75</v>
      </c>
      <c r="B65" s="40"/>
      <c r="C65" s="41"/>
      <c r="D65" s="34"/>
      <c r="E65" s="35"/>
      <c r="F65">
        <v>75</v>
      </c>
      <c r="G65" s="85">
        <v>17.11</v>
      </c>
      <c r="H65" s="29">
        <v>17.43</v>
      </c>
    </row>
    <row r="66" spans="1:2" ht="12.75">
      <c r="A66" s="11" t="s">
        <v>36</v>
      </c>
      <c r="B66" s="25"/>
    </row>
    <row r="67" ht="12.75">
      <c r="B67" t="s">
        <v>38</v>
      </c>
    </row>
    <row r="68" spans="1:5" ht="12.75">
      <c r="A68" t="s">
        <v>37</v>
      </c>
      <c r="B68" s="14">
        <v>0</v>
      </c>
      <c r="C68" s="14">
        <v>0.01</v>
      </c>
      <c r="D68" s="14">
        <v>0.02</v>
      </c>
      <c r="E68" s="14">
        <v>0.03</v>
      </c>
    </row>
    <row r="69" spans="1:5" ht="12.75">
      <c r="A69">
        <v>16</v>
      </c>
      <c r="B69" s="82">
        <v>1</v>
      </c>
      <c r="C69" s="82">
        <v>1</v>
      </c>
      <c r="D69" s="82">
        <v>1</v>
      </c>
      <c r="E69" s="82">
        <v>1</v>
      </c>
    </row>
    <row r="70" spans="1:5" ht="12.75">
      <c r="A70">
        <v>17</v>
      </c>
      <c r="B70" s="82">
        <v>1</v>
      </c>
      <c r="C70" s="82">
        <v>1</v>
      </c>
      <c r="D70" s="82">
        <v>1</v>
      </c>
      <c r="E70" s="82">
        <v>1</v>
      </c>
    </row>
    <row r="71" spans="1:5" ht="12.75">
      <c r="A71">
        <v>18</v>
      </c>
      <c r="B71" s="82">
        <v>1</v>
      </c>
      <c r="C71" s="82">
        <v>1</v>
      </c>
      <c r="D71" s="82">
        <v>1</v>
      </c>
      <c r="E71" s="82">
        <v>1</v>
      </c>
    </row>
    <row r="72" spans="1:5" ht="12.75">
      <c r="A72">
        <v>19</v>
      </c>
      <c r="B72" s="82">
        <v>1</v>
      </c>
      <c r="C72" s="82">
        <v>1</v>
      </c>
      <c r="D72" s="82">
        <v>1</v>
      </c>
      <c r="E72" s="82">
        <v>1</v>
      </c>
    </row>
    <row r="73" spans="1:5" ht="12.75">
      <c r="A73">
        <v>20</v>
      </c>
      <c r="B73" s="82">
        <v>1</v>
      </c>
      <c r="C73" s="82">
        <v>1</v>
      </c>
      <c r="D73" s="82">
        <v>1</v>
      </c>
      <c r="E73" s="82">
        <v>1</v>
      </c>
    </row>
    <row r="74" spans="1:5" ht="12.75">
      <c r="A74">
        <v>21</v>
      </c>
      <c r="B74" s="82">
        <v>1</v>
      </c>
      <c r="C74" s="82">
        <v>1</v>
      </c>
      <c r="D74" s="82">
        <v>1</v>
      </c>
      <c r="E74" s="82">
        <v>1</v>
      </c>
    </row>
    <row r="75" spans="1:5" ht="12.75">
      <c r="A75">
        <v>22</v>
      </c>
      <c r="B75" s="82">
        <v>1</v>
      </c>
      <c r="C75" s="82">
        <v>1</v>
      </c>
      <c r="D75" s="82">
        <v>1</v>
      </c>
      <c r="E75" s="82">
        <v>1</v>
      </c>
    </row>
    <row r="76" spans="1:5" ht="12.75">
      <c r="A76">
        <v>23</v>
      </c>
      <c r="B76" s="82">
        <v>1</v>
      </c>
      <c r="C76" s="82">
        <v>1</v>
      </c>
      <c r="D76" s="82">
        <v>1</v>
      </c>
      <c r="E76" s="82">
        <v>1</v>
      </c>
    </row>
    <row r="77" spans="1:5" ht="12.75">
      <c r="A77">
        <v>24</v>
      </c>
      <c r="B77" s="82">
        <v>1</v>
      </c>
      <c r="C77" s="82">
        <v>1</v>
      </c>
      <c r="D77" s="82">
        <v>1</v>
      </c>
      <c r="E77" s="82">
        <v>1</v>
      </c>
    </row>
    <row r="78" spans="1:5" ht="12.75">
      <c r="A78">
        <v>25</v>
      </c>
      <c r="B78" s="82">
        <v>1</v>
      </c>
      <c r="C78" s="82">
        <v>1</v>
      </c>
      <c r="D78" s="82">
        <v>1</v>
      </c>
      <c r="E78" s="82">
        <v>1</v>
      </c>
    </row>
    <row r="79" spans="1:5" ht="12.75">
      <c r="A79">
        <v>26</v>
      </c>
      <c r="B79" s="82">
        <v>1</v>
      </c>
      <c r="C79" s="82">
        <v>1</v>
      </c>
      <c r="D79" s="82">
        <v>1</v>
      </c>
      <c r="E79" s="82">
        <v>1</v>
      </c>
    </row>
    <row r="80" spans="1:5" ht="12.75">
      <c r="A80">
        <v>27</v>
      </c>
      <c r="B80" s="82">
        <v>1</v>
      </c>
      <c r="C80" s="82">
        <v>1</v>
      </c>
      <c r="D80" s="82">
        <v>1</v>
      </c>
      <c r="E80" s="82">
        <v>1</v>
      </c>
    </row>
    <row r="81" spans="1:5" ht="12.75">
      <c r="A81">
        <v>28</v>
      </c>
      <c r="B81" s="82">
        <v>1</v>
      </c>
      <c r="C81" s="82">
        <v>1</v>
      </c>
      <c r="D81" s="82">
        <v>1</v>
      </c>
      <c r="E81" s="82">
        <v>1</v>
      </c>
    </row>
    <row r="82" spans="1:5" ht="12.75">
      <c r="A82">
        <v>29</v>
      </c>
      <c r="B82" s="82">
        <v>1</v>
      </c>
      <c r="C82" s="82">
        <v>1</v>
      </c>
      <c r="D82" s="82">
        <v>1</v>
      </c>
      <c r="E82" s="82">
        <v>1</v>
      </c>
    </row>
    <row r="83" spans="1:5" ht="12.75">
      <c r="A83">
        <v>30</v>
      </c>
      <c r="B83" s="82">
        <v>1</v>
      </c>
      <c r="C83" s="82">
        <v>1</v>
      </c>
      <c r="D83" s="82">
        <v>1</v>
      </c>
      <c r="E83" s="82">
        <v>1</v>
      </c>
    </row>
    <row r="84" spans="1:5" ht="12.75">
      <c r="A84">
        <v>31</v>
      </c>
      <c r="B84" s="82">
        <v>1</v>
      </c>
      <c r="C84" s="82">
        <v>1</v>
      </c>
      <c r="D84" s="82">
        <v>1</v>
      </c>
      <c r="E84" s="82">
        <v>1</v>
      </c>
    </row>
    <row r="85" spans="1:5" ht="12.75">
      <c r="A85">
        <v>32</v>
      </c>
      <c r="B85" s="82">
        <v>1</v>
      </c>
      <c r="C85" s="82">
        <v>1</v>
      </c>
      <c r="D85" s="82">
        <v>1</v>
      </c>
      <c r="E85" s="82">
        <v>1</v>
      </c>
    </row>
    <row r="86" spans="1:5" ht="12.75">
      <c r="A86">
        <v>33</v>
      </c>
      <c r="B86" s="82">
        <v>1</v>
      </c>
      <c r="C86" s="82">
        <v>1</v>
      </c>
      <c r="D86" s="82">
        <v>1</v>
      </c>
      <c r="E86" s="82">
        <v>1</v>
      </c>
    </row>
    <row r="87" spans="1:5" ht="12.75">
      <c r="A87">
        <v>34</v>
      </c>
      <c r="B87" s="82">
        <v>1</v>
      </c>
      <c r="C87" s="82">
        <v>1</v>
      </c>
      <c r="D87" s="82">
        <v>1</v>
      </c>
      <c r="E87" s="82">
        <v>1</v>
      </c>
    </row>
    <row r="88" spans="1:5" ht="12.75">
      <c r="A88">
        <v>35</v>
      </c>
      <c r="B88" s="82">
        <v>1</v>
      </c>
      <c r="C88" s="82">
        <v>1</v>
      </c>
      <c r="D88" s="82">
        <v>1</v>
      </c>
      <c r="E88" s="82">
        <v>1</v>
      </c>
    </row>
    <row r="89" spans="1:5" ht="12.75">
      <c r="A89">
        <v>36</v>
      </c>
      <c r="B89" s="82">
        <v>1</v>
      </c>
      <c r="C89" s="82">
        <v>1</v>
      </c>
      <c r="D89" s="82">
        <v>1</v>
      </c>
      <c r="E89" s="82">
        <v>1</v>
      </c>
    </row>
    <row r="90" spans="1:5" ht="12.75">
      <c r="A90">
        <v>37</v>
      </c>
      <c r="B90" s="82">
        <v>1</v>
      </c>
      <c r="C90" s="82">
        <v>1</v>
      </c>
      <c r="D90" s="82">
        <v>1</v>
      </c>
      <c r="E90" s="82">
        <v>1</v>
      </c>
    </row>
    <row r="91" spans="1:5" ht="12.75">
      <c r="A91">
        <v>38</v>
      </c>
      <c r="B91" s="82">
        <v>1</v>
      </c>
      <c r="C91" s="82">
        <v>1</v>
      </c>
      <c r="D91" s="82">
        <v>1</v>
      </c>
      <c r="E91" s="82">
        <v>1</v>
      </c>
    </row>
    <row r="92" spans="1:5" ht="12.75">
      <c r="A92">
        <v>39</v>
      </c>
      <c r="B92" s="82">
        <v>1</v>
      </c>
      <c r="C92" s="82">
        <v>1</v>
      </c>
      <c r="D92" s="82">
        <v>1</v>
      </c>
      <c r="E92" s="82">
        <v>1</v>
      </c>
    </row>
    <row r="93" spans="1:5" ht="12.75">
      <c r="A93">
        <v>40</v>
      </c>
      <c r="B93" s="82">
        <v>1</v>
      </c>
      <c r="C93" s="82">
        <v>1</v>
      </c>
      <c r="D93" s="82">
        <v>1</v>
      </c>
      <c r="E93" s="82">
        <v>1</v>
      </c>
    </row>
    <row r="94" spans="1:5" ht="12.75">
      <c r="A94">
        <v>41</v>
      </c>
      <c r="B94" s="82">
        <v>1</v>
      </c>
      <c r="C94" s="82">
        <v>1</v>
      </c>
      <c r="D94" s="82">
        <v>1</v>
      </c>
      <c r="E94" s="82">
        <v>1</v>
      </c>
    </row>
    <row r="95" spans="1:5" ht="12.75">
      <c r="A95">
        <v>42</v>
      </c>
      <c r="B95" s="82">
        <v>1</v>
      </c>
      <c r="C95" s="82">
        <v>1</v>
      </c>
      <c r="D95" s="82">
        <v>1</v>
      </c>
      <c r="E95" s="82">
        <v>1</v>
      </c>
    </row>
    <row r="96" spans="1:5" ht="12.75">
      <c r="A96">
        <v>43</v>
      </c>
      <c r="B96" s="82">
        <v>1</v>
      </c>
      <c r="C96" s="82">
        <v>1</v>
      </c>
      <c r="D96" s="82">
        <v>1</v>
      </c>
      <c r="E96" s="82">
        <v>1</v>
      </c>
    </row>
    <row r="97" spans="1:5" ht="12.75">
      <c r="A97">
        <v>44</v>
      </c>
      <c r="B97" s="82">
        <v>1</v>
      </c>
      <c r="C97" s="82">
        <v>1</v>
      </c>
      <c r="D97" s="82">
        <v>1</v>
      </c>
      <c r="E97" s="82">
        <v>1</v>
      </c>
    </row>
    <row r="98" spans="1:5" ht="12.75">
      <c r="A98">
        <v>45</v>
      </c>
      <c r="B98" s="82">
        <v>1</v>
      </c>
      <c r="C98" s="82">
        <v>1</v>
      </c>
      <c r="D98" s="82">
        <v>1</v>
      </c>
      <c r="E98" s="82">
        <v>1</v>
      </c>
    </row>
    <row r="99" spans="1:5" ht="12.75">
      <c r="A99">
        <v>46</v>
      </c>
      <c r="B99" s="82">
        <v>1</v>
      </c>
      <c r="C99" s="82">
        <v>1</v>
      </c>
      <c r="D99" s="82">
        <v>1</v>
      </c>
      <c r="E99" s="82">
        <v>1</v>
      </c>
    </row>
    <row r="100" spans="1:5" ht="12.75">
      <c r="A100">
        <v>47</v>
      </c>
      <c r="B100" s="82">
        <v>1</v>
      </c>
      <c r="C100" s="82">
        <v>1</v>
      </c>
      <c r="D100" s="82">
        <v>1</v>
      </c>
      <c r="E100" s="82">
        <v>1</v>
      </c>
    </row>
    <row r="101" spans="1:5" ht="12.75">
      <c r="A101">
        <v>48</v>
      </c>
      <c r="B101" s="82">
        <v>1</v>
      </c>
      <c r="C101" s="82">
        <v>1</v>
      </c>
      <c r="D101" s="82">
        <v>1</v>
      </c>
      <c r="E101" s="82">
        <v>1</v>
      </c>
    </row>
    <row r="102" spans="1:5" ht="12.75">
      <c r="A102">
        <v>49</v>
      </c>
      <c r="B102" s="82">
        <v>1</v>
      </c>
      <c r="C102" s="82">
        <v>1</v>
      </c>
      <c r="D102" s="82">
        <v>1</v>
      </c>
      <c r="E102" s="82">
        <v>1</v>
      </c>
    </row>
    <row r="103" spans="1:5" ht="12.75">
      <c r="A103">
        <v>50</v>
      </c>
      <c r="B103" s="82">
        <v>1</v>
      </c>
      <c r="C103" s="82">
        <v>1</v>
      </c>
      <c r="D103" s="82">
        <v>1</v>
      </c>
      <c r="E103" s="82">
        <v>1</v>
      </c>
    </row>
    <row r="104" spans="1:5" ht="12.75">
      <c r="A104">
        <v>51</v>
      </c>
      <c r="B104" s="82">
        <v>1</v>
      </c>
      <c r="C104" s="82">
        <v>1</v>
      </c>
      <c r="D104" s="82">
        <v>1</v>
      </c>
      <c r="E104" s="82">
        <v>1</v>
      </c>
    </row>
    <row r="105" spans="1:5" ht="12.75">
      <c r="A105">
        <v>52</v>
      </c>
      <c r="B105" s="82">
        <v>1</v>
      </c>
      <c r="C105" s="82">
        <v>1</v>
      </c>
      <c r="D105" s="82">
        <v>1</v>
      </c>
      <c r="E105" s="82">
        <v>1</v>
      </c>
    </row>
    <row r="106" spans="1:5" ht="12.75">
      <c r="A106">
        <v>53</v>
      </c>
      <c r="B106" s="82">
        <v>1</v>
      </c>
      <c r="C106" s="82">
        <v>1</v>
      </c>
      <c r="D106" s="82">
        <v>1</v>
      </c>
      <c r="E106" s="82">
        <v>1</v>
      </c>
    </row>
    <row r="107" spans="1:5" ht="12.75">
      <c r="A107">
        <v>54</v>
      </c>
      <c r="B107" s="82">
        <v>1</v>
      </c>
      <c r="C107" s="82">
        <v>1</v>
      </c>
      <c r="D107" s="82">
        <v>1</v>
      </c>
      <c r="E107" s="82">
        <v>1</v>
      </c>
    </row>
    <row r="108" spans="1:5" ht="12.75">
      <c r="A108">
        <v>55</v>
      </c>
      <c r="B108" s="82">
        <v>1</v>
      </c>
      <c r="C108" s="82">
        <v>1</v>
      </c>
      <c r="D108" s="82">
        <v>1</v>
      </c>
      <c r="E108" s="82">
        <v>1</v>
      </c>
    </row>
    <row r="109" spans="1:5" ht="12.75">
      <c r="A109">
        <v>56</v>
      </c>
      <c r="B109" s="82">
        <v>1</v>
      </c>
      <c r="C109" s="82">
        <v>1</v>
      </c>
      <c r="D109" s="82">
        <v>1</v>
      </c>
      <c r="E109" s="82">
        <v>1</v>
      </c>
    </row>
    <row r="110" spans="1:5" ht="12.75">
      <c r="A110">
        <v>57</v>
      </c>
      <c r="B110" s="82">
        <v>1</v>
      </c>
      <c r="C110" s="82">
        <v>1</v>
      </c>
      <c r="D110" s="82">
        <v>1</v>
      </c>
      <c r="E110" s="82">
        <v>1</v>
      </c>
    </row>
    <row r="111" spans="1:5" ht="12.75">
      <c r="A111">
        <v>58</v>
      </c>
      <c r="B111" s="82">
        <v>1</v>
      </c>
      <c r="C111" s="82">
        <v>1</v>
      </c>
      <c r="D111" s="82">
        <v>1</v>
      </c>
      <c r="E111" s="82">
        <v>1</v>
      </c>
    </row>
    <row r="112" spans="1:5" ht="12.75">
      <c r="A112">
        <v>59</v>
      </c>
      <c r="B112" s="82">
        <v>1</v>
      </c>
      <c r="C112" s="82">
        <v>1</v>
      </c>
      <c r="D112" s="82">
        <v>1</v>
      </c>
      <c r="E112" s="82">
        <v>1</v>
      </c>
    </row>
    <row r="113" spans="1:5" ht="12.75">
      <c r="A113">
        <v>60</v>
      </c>
      <c r="B113" s="82">
        <v>1</v>
      </c>
      <c r="C113" s="82">
        <v>1</v>
      </c>
      <c r="D113" s="82">
        <v>1</v>
      </c>
      <c r="E113" s="82">
        <v>1</v>
      </c>
    </row>
    <row r="114" spans="1:5" ht="12.75">
      <c r="A114">
        <v>61</v>
      </c>
      <c r="B114" s="82">
        <v>1</v>
      </c>
      <c r="C114" s="82">
        <v>1</v>
      </c>
      <c r="D114" s="82">
        <v>1</v>
      </c>
      <c r="E114" s="82">
        <v>1</v>
      </c>
    </row>
    <row r="115" spans="1:5" ht="12.75">
      <c r="A115">
        <v>62</v>
      </c>
      <c r="B115" s="82">
        <v>1</v>
      </c>
      <c r="C115" s="82">
        <v>1</v>
      </c>
      <c r="D115" s="82">
        <v>1</v>
      </c>
      <c r="E115" s="82">
        <v>1</v>
      </c>
    </row>
    <row r="116" spans="1:5" ht="12.75">
      <c r="A116">
        <v>63</v>
      </c>
      <c r="B116" s="82">
        <v>1</v>
      </c>
      <c r="C116" s="82">
        <v>1</v>
      </c>
      <c r="D116" s="82">
        <v>1</v>
      </c>
      <c r="E116" s="82">
        <v>1</v>
      </c>
    </row>
    <row r="117" spans="1:5" ht="12.75">
      <c r="A117">
        <v>64</v>
      </c>
      <c r="B117" s="82">
        <v>1</v>
      </c>
      <c r="C117" s="82">
        <v>1</v>
      </c>
      <c r="D117" s="82">
        <v>1</v>
      </c>
      <c r="E117" s="82">
        <v>1</v>
      </c>
    </row>
    <row r="118" spans="1:5" ht="12.75">
      <c r="A118">
        <v>65</v>
      </c>
      <c r="B118" s="82">
        <v>1</v>
      </c>
      <c r="C118" s="82">
        <v>1</v>
      </c>
      <c r="D118" s="82">
        <v>1</v>
      </c>
      <c r="E118" s="82">
        <v>1</v>
      </c>
    </row>
    <row r="119" spans="1:5" ht="12.75">
      <c r="A119">
        <v>66</v>
      </c>
      <c r="B119" s="82">
        <v>1</v>
      </c>
      <c r="C119" s="82">
        <v>1</v>
      </c>
      <c r="D119" s="82">
        <v>1</v>
      </c>
      <c r="E119" s="82">
        <v>1</v>
      </c>
    </row>
    <row r="120" spans="1:5" ht="12.75">
      <c r="A120">
        <v>67</v>
      </c>
      <c r="B120" s="82">
        <v>1</v>
      </c>
      <c r="C120" s="82">
        <v>1</v>
      </c>
      <c r="D120" s="82">
        <v>1</v>
      </c>
      <c r="E120" s="82">
        <v>1</v>
      </c>
    </row>
    <row r="121" spans="1:5" ht="12.75">
      <c r="A121">
        <v>68</v>
      </c>
      <c r="B121" s="82">
        <v>1</v>
      </c>
      <c r="C121" s="82">
        <v>1</v>
      </c>
      <c r="D121" s="82">
        <v>1</v>
      </c>
      <c r="E121" s="82">
        <v>1</v>
      </c>
    </row>
    <row r="122" spans="1:5" ht="12.75">
      <c r="A122">
        <v>69</v>
      </c>
      <c r="B122" s="82">
        <v>1</v>
      </c>
      <c r="C122" s="82">
        <v>1</v>
      </c>
      <c r="D122" s="82">
        <v>1</v>
      </c>
      <c r="E122" s="82">
        <v>1</v>
      </c>
    </row>
    <row r="123" spans="1:5" ht="12.75">
      <c r="A123">
        <v>70</v>
      </c>
      <c r="B123" s="82">
        <v>1</v>
      </c>
      <c r="C123" s="82">
        <v>1</v>
      </c>
      <c r="D123" s="82">
        <v>1</v>
      </c>
      <c r="E123" s="82">
        <v>1</v>
      </c>
    </row>
    <row r="124" spans="1:5" ht="12.75">
      <c r="A124">
        <v>71</v>
      </c>
      <c r="B124" s="82">
        <v>1</v>
      </c>
      <c r="C124" s="82">
        <v>1</v>
      </c>
      <c r="D124" s="82">
        <v>1</v>
      </c>
      <c r="E124" s="82">
        <v>1</v>
      </c>
    </row>
    <row r="125" spans="1:5" ht="12.75">
      <c r="A125">
        <v>72</v>
      </c>
      <c r="B125" s="82">
        <v>1</v>
      </c>
      <c r="C125" s="82">
        <v>1</v>
      </c>
      <c r="D125" s="82">
        <v>1</v>
      </c>
      <c r="E125" s="82">
        <v>1</v>
      </c>
    </row>
    <row r="126" spans="1:5" ht="12.75">
      <c r="A126">
        <v>73</v>
      </c>
      <c r="B126" s="82">
        <v>1</v>
      </c>
      <c r="C126" s="82">
        <v>1</v>
      </c>
      <c r="D126" s="82">
        <v>1</v>
      </c>
      <c r="E126" s="82">
        <v>1</v>
      </c>
    </row>
    <row r="127" spans="1:5" ht="12.75">
      <c r="A127">
        <v>74</v>
      </c>
      <c r="B127" s="82">
        <v>1</v>
      </c>
      <c r="C127" s="82">
        <v>1</v>
      </c>
      <c r="D127" s="82">
        <v>1</v>
      </c>
      <c r="E127" s="82">
        <v>1</v>
      </c>
    </row>
    <row r="128" spans="1:5" ht="12.75">
      <c r="A128">
        <v>75</v>
      </c>
      <c r="B128" s="82">
        <v>1</v>
      </c>
      <c r="C128" s="82">
        <v>1</v>
      </c>
      <c r="D128" s="82">
        <v>1</v>
      </c>
      <c r="E128" s="82">
        <v>1</v>
      </c>
    </row>
  </sheetData>
  <sheetProtection sheet="1"/>
  <printOptions/>
  <pageMargins left="0.7" right="0.7" top="0.75" bottom="0.75" header="0.3" footer="0.3"/>
  <pageSetup fitToWidth="0" fitToHeight="1" horizontalDpi="600" verticalDpi="600" orientation="portrait" paperSize="9" scale="46" r:id="rId1"/>
</worksheet>
</file>

<file path=xl/worksheets/sheet6.xml><?xml version="1.0" encoding="utf-8"?>
<worksheet xmlns="http://schemas.openxmlformats.org/spreadsheetml/2006/main" xmlns:r="http://schemas.openxmlformats.org/officeDocument/2006/relationships">
  <sheetPr codeName="Sheet5"/>
  <dimension ref="A1:N30"/>
  <sheetViews>
    <sheetView zoomScalePageLayoutView="0" workbookViewId="0" topLeftCell="A1">
      <selection activeCell="D1" sqref="D1"/>
    </sheetView>
  </sheetViews>
  <sheetFormatPr defaultColWidth="9.140625" defaultRowHeight="12.75"/>
  <sheetData>
    <row r="1" spans="1:4" ht="12.75">
      <c r="A1" s="11" t="s">
        <v>69</v>
      </c>
      <c r="D1" s="160">
        <v>44354</v>
      </c>
    </row>
    <row r="2" spans="1:14" ht="12.75">
      <c r="A2" s="49"/>
      <c r="B2" s="49"/>
      <c r="C2" s="49"/>
      <c r="D2" s="49"/>
      <c r="E2" s="49"/>
      <c r="F2" s="49"/>
      <c r="G2" s="49"/>
      <c r="H2" s="49"/>
      <c r="I2" s="49"/>
      <c r="J2" s="49"/>
      <c r="K2" s="49"/>
      <c r="L2" s="49"/>
      <c r="M2" s="49"/>
      <c r="N2" s="49"/>
    </row>
    <row r="3" spans="1:14" ht="12.75">
      <c r="A3" s="50"/>
      <c r="B3" s="50" t="s">
        <v>70</v>
      </c>
      <c r="C3" s="50"/>
      <c r="D3" s="50"/>
      <c r="E3" s="50"/>
      <c r="F3" s="50"/>
      <c r="G3" s="50"/>
      <c r="H3" s="50"/>
      <c r="I3" s="50"/>
      <c r="J3" s="50"/>
      <c r="K3" s="50"/>
      <c r="L3" s="50"/>
      <c r="M3" s="50"/>
      <c r="N3" s="50"/>
    </row>
    <row r="4" spans="1:14" ht="12.75">
      <c r="A4" s="50" t="s">
        <v>71</v>
      </c>
      <c r="B4" s="50">
        <v>0</v>
      </c>
      <c r="C4" s="50">
        <v>1</v>
      </c>
      <c r="D4" s="50">
        <v>2</v>
      </c>
      <c r="E4" s="50">
        <v>3</v>
      </c>
      <c r="F4" s="50">
        <v>4</v>
      </c>
      <c r="G4" s="50">
        <v>5</v>
      </c>
      <c r="H4" s="50">
        <v>6</v>
      </c>
      <c r="I4" s="50">
        <v>7</v>
      </c>
      <c r="J4" s="50">
        <v>8</v>
      </c>
      <c r="K4" s="50">
        <v>9</v>
      </c>
      <c r="L4" s="50">
        <v>10</v>
      </c>
      <c r="M4" s="50">
        <v>11</v>
      </c>
      <c r="N4" s="50"/>
    </row>
    <row r="5" spans="1:14" ht="13.5" thickBot="1">
      <c r="A5" s="50">
        <v>50</v>
      </c>
      <c r="B5" s="161">
        <v>0.65</v>
      </c>
      <c r="C5" s="161">
        <v>0.652</v>
      </c>
      <c r="D5" s="161">
        <v>0.654</v>
      </c>
      <c r="E5" s="161">
        <v>0.656</v>
      </c>
      <c r="F5" s="161">
        <v>0.658</v>
      </c>
      <c r="G5" s="161">
        <v>0.66</v>
      </c>
      <c r="H5" s="161">
        <v>0.662</v>
      </c>
      <c r="I5" s="161">
        <v>0.665</v>
      </c>
      <c r="J5" s="161">
        <v>0.667</v>
      </c>
      <c r="K5" s="161">
        <v>0.669</v>
      </c>
      <c r="L5" s="161">
        <v>0.671</v>
      </c>
      <c r="M5" s="162">
        <v>0.673</v>
      </c>
      <c r="N5" s="49"/>
    </row>
    <row r="6" spans="1:14" ht="13.5" thickBot="1">
      <c r="A6" s="50">
        <v>51</v>
      </c>
      <c r="B6" s="161">
        <v>0.675</v>
      </c>
      <c r="C6" s="161">
        <v>0.677</v>
      </c>
      <c r="D6" s="161">
        <v>0.679</v>
      </c>
      <c r="E6" s="161">
        <v>0.681</v>
      </c>
      <c r="F6" s="161">
        <v>0.684</v>
      </c>
      <c r="G6" s="161">
        <v>0.686</v>
      </c>
      <c r="H6" s="161">
        <v>0.688</v>
      </c>
      <c r="I6" s="161">
        <v>0.69</v>
      </c>
      <c r="J6" s="161">
        <v>0.692</v>
      </c>
      <c r="K6" s="161">
        <v>0.694</v>
      </c>
      <c r="L6" s="161">
        <v>0.697</v>
      </c>
      <c r="M6" s="162">
        <v>0.699</v>
      </c>
      <c r="N6" s="49"/>
    </row>
    <row r="7" spans="1:14" ht="13.5" thickBot="1">
      <c r="A7" s="50">
        <v>52</v>
      </c>
      <c r="B7" s="161">
        <v>0.701</v>
      </c>
      <c r="C7" s="161">
        <v>0.704</v>
      </c>
      <c r="D7" s="161">
        <v>0.706</v>
      </c>
      <c r="E7" s="161">
        <v>0.708</v>
      </c>
      <c r="F7" s="161">
        <v>0.711</v>
      </c>
      <c r="G7" s="161">
        <v>0.713</v>
      </c>
      <c r="H7" s="161">
        <v>0.715</v>
      </c>
      <c r="I7" s="161">
        <v>0.718</v>
      </c>
      <c r="J7" s="161">
        <v>0.72</v>
      </c>
      <c r="K7" s="161">
        <v>0.722</v>
      </c>
      <c r="L7" s="161">
        <v>0.725</v>
      </c>
      <c r="M7" s="162">
        <v>0.727</v>
      </c>
      <c r="N7" s="49"/>
    </row>
    <row r="8" spans="1:14" ht="13.5" thickBot="1">
      <c r="A8" s="50">
        <v>53</v>
      </c>
      <c r="B8" s="161">
        <v>0.73</v>
      </c>
      <c r="C8" s="161">
        <v>0.732</v>
      </c>
      <c r="D8" s="161">
        <v>0.735</v>
      </c>
      <c r="E8" s="161">
        <v>0.737</v>
      </c>
      <c r="F8" s="161">
        <v>0.74</v>
      </c>
      <c r="G8" s="161">
        <v>0.742</v>
      </c>
      <c r="H8" s="161">
        <v>0.745</v>
      </c>
      <c r="I8" s="161">
        <v>0.747</v>
      </c>
      <c r="J8" s="161">
        <v>0.75</v>
      </c>
      <c r="K8" s="161">
        <v>0.753</v>
      </c>
      <c r="L8" s="161">
        <v>0.755</v>
      </c>
      <c r="M8" s="162">
        <v>0.758</v>
      </c>
      <c r="N8" s="49"/>
    </row>
    <row r="9" spans="1:14" ht="13.5" thickBot="1">
      <c r="A9" s="50">
        <v>54</v>
      </c>
      <c r="B9" s="161">
        <v>0.76</v>
      </c>
      <c r="C9" s="161">
        <v>0.763</v>
      </c>
      <c r="D9" s="161">
        <v>0.766</v>
      </c>
      <c r="E9" s="161">
        <v>0.769</v>
      </c>
      <c r="F9" s="161">
        <v>0.771</v>
      </c>
      <c r="G9" s="161">
        <v>0.774</v>
      </c>
      <c r="H9" s="161">
        <v>0.777</v>
      </c>
      <c r="I9" s="161">
        <v>0.78</v>
      </c>
      <c r="J9" s="161">
        <v>0.783</v>
      </c>
      <c r="K9" s="161">
        <v>0.785</v>
      </c>
      <c r="L9" s="161">
        <v>0.788</v>
      </c>
      <c r="M9" s="162">
        <v>0.791</v>
      </c>
      <c r="N9" s="49"/>
    </row>
    <row r="10" spans="1:14" ht="13.5" thickBot="1">
      <c r="A10" s="50">
        <v>55</v>
      </c>
      <c r="B10" s="161">
        <v>0.794</v>
      </c>
      <c r="C10" s="161">
        <v>0.797</v>
      </c>
      <c r="D10" s="161">
        <v>0.8</v>
      </c>
      <c r="E10" s="161">
        <v>0.803</v>
      </c>
      <c r="F10" s="161">
        <v>0.806</v>
      </c>
      <c r="G10" s="161">
        <v>0.809</v>
      </c>
      <c r="H10" s="161">
        <v>0.812</v>
      </c>
      <c r="I10" s="161">
        <v>0.815</v>
      </c>
      <c r="J10" s="161">
        <v>0.818</v>
      </c>
      <c r="K10" s="161">
        <v>0.821</v>
      </c>
      <c r="L10" s="161">
        <v>0.824</v>
      </c>
      <c r="M10" s="162">
        <v>0.827</v>
      </c>
      <c r="N10" s="49"/>
    </row>
    <row r="11" spans="1:14" ht="13.5" thickBot="1">
      <c r="A11" s="50">
        <v>56</v>
      </c>
      <c r="B11" s="161">
        <v>0.83</v>
      </c>
      <c r="C11" s="161">
        <v>0.833</v>
      </c>
      <c r="D11" s="161">
        <v>0.836</v>
      </c>
      <c r="E11" s="161">
        <v>0.839</v>
      </c>
      <c r="F11" s="161">
        <v>0.843</v>
      </c>
      <c r="G11" s="161">
        <v>0.846</v>
      </c>
      <c r="H11" s="161">
        <v>0.849</v>
      </c>
      <c r="I11" s="161">
        <v>0.852</v>
      </c>
      <c r="J11" s="161">
        <v>0.855</v>
      </c>
      <c r="K11" s="161">
        <v>0.859</v>
      </c>
      <c r="L11" s="161">
        <v>0.862</v>
      </c>
      <c r="M11" s="162">
        <v>0.865</v>
      </c>
      <c r="N11" s="49"/>
    </row>
    <row r="12" spans="1:14" ht="13.5" thickBot="1">
      <c r="A12" s="50">
        <v>57</v>
      </c>
      <c r="B12" s="161">
        <v>0.868</v>
      </c>
      <c r="C12" s="161">
        <v>0.872</v>
      </c>
      <c r="D12" s="161">
        <v>0.875</v>
      </c>
      <c r="E12" s="161">
        <v>0.879</v>
      </c>
      <c r="F12" s="161">
        <v>0.882</v>
      </c>
      <c r="G12" s="161">
        <v>0.886</v>
      </c>
      <c r="H12" s="161">
        <v>0.889</v>
      </c>
      <c r="I12" s="161">
        <v>0.892</v>
      </c>
      <c r="J12" s="161">
        <v>0.896</v>
      </c>
      <c r="K12" s="161">
        <v>0.899</v>
      </c>
      <c r="L12" s="161">
        <v>0.903</v>
      </c>
      <c r="M12" s="162">
        <v>0.906</v>
      </c>
      <c r="N12" s="49"/>
    </row>
    <row r="13" spans="1:14" ht="13.5" thickBot="1">
      <c r="A13" s="50">
        <v>58</v>
      </c>
      <c r="B13" s="161">
        <v>0.91</v>
      </c>
      <c r="C13" s="161">
        <v>0.913</v>
      </c>
      <c r="D13" s="161">
        <v>0.917</v>
      </c>
      <c r="E13" s="161">
        <v>0.921</v>
      </c>
      <c r="F13" s="161">
        <v>0.925</v>
      </c>
      <c r="G13" s="161">
        <v>0.928</v>
      </c>
      <c r="H13" s="161">
        <v>0.932</v>
      </c>
      <c r="I13" s="161">
        <v>0.936</v>
      </c>
      <c r="J13" s="161">
        <v>0.939</v>
      </c>
      <c r="K13" s="161">
        <v>0.943</v>
      </c>
      <c r="L13" s="161">
        <v>0.947</v>
      </c>
      <c r="M13" s="162">
        <v>0.95</v>
      </c>
      <c r="N13" s="49"/>
    </row>
    <row r="14" spans="1:14" ht="13.5" thickBot="1">
      <c r="A14" s="50">
        <v>59</v>
      </c>
      <c r="B14" s="161">
        <v>0.954</v>
      </c>
      <c r="C14" s="161">
        <v>0.958</v>
      </c>
      <c r="D14" s="161">
        <v>0.962</v>
      </c>
      <c r="E14" s="161">
        <v>0.966</v>
      </c>
      <c r="F14" s="161">
        <v>0.97</v>
      </c>
      <c r="G14" s="161">
        <v>0.974</v>
      </c>
      <c r="H14" s="161">
        <v>0.978</v>
      </c>
      <c r="I14" s="161">
        <v>0.982</v>
      </c>
      <c r="J14" s="161">
        <v>0.986</v>
      </c>
      <c r="K14" s="161">
        <v>0.99</v>
      </c>
      <c r="L14" s="161">
        <v>0.994</v>
      </c>
      <c r="M14" s="162">
        <v>0.998</v>
      </c>
      <c r="N14" s="49"/>
    </row>
    <row r="15" spans="1:14" ht="12.75">
      <c r="A15" s="49"/>
      <c r="B15" s="49"/>
      <c r="C15" s="49"/>
      <c r="D15" s="49"/>
      <c r="E15" s="49"/>
      <c r="F15" s="49"/>
      <c r="G15" s="49"/>
      <c r="H15" s="49"/>
      <c r="I15" s="49"/>
      <c r="J15" s="49"/>
      <c r="K15" s="49"/>
      <c r="L15" s="49"/>
      <c r="M15" s="49"/>
      <c r="N15" s="49"/>
    </row>
    <row r="17" spans="1:4" ht="12.75">
      <c r="A17" s="11" t="s">
        <v>72</v>
      </c>
      <c r="D17" s="160">
        <v>44354</v>
      </c>
    </row>
    <row r="18" spans="1:14" ht="12.75">
      <c r="A18" s="51"/>
      <c r="B18" s="51"/>
      <c r="C18" s="51"/>
      <c r="D18" s="51"/>
      <c r="E18" s="51"/>
      <c r="F18" s="51"/>
      <c r="G18" s="51"/>
      <c r="H18" s="51"/>
      <c r="I18" s="51"/>
      <c r="J18" s="51"/>
      <c r="K18" s="51"/>
      <c r="L18" s="51"/>
      <c r="M18" s="51"/>
      <c r="N18" s="51"/>
    </row>
    <row r="19" spans="1:14" ht="12.75">
      <c r="A19" s="52"/>
      <c r="B19" s="52">
        <v>0</v>
      </c>
      <c r="C19" s="52">
        <v>1</v>
      </c>
      <c r="D19" s="52">
        <v>2</v>
      </c>
      <c r="E19" s="52">
        <v>3</v>
      </c>
      <c r="F19" s="52">
        <v>4</v>
      </c>
      <c r="G19" s="52">
        <v>5</v>
      </c>
      <c r="H19" s="52">
        <v>6</v>
      </c>
      <c r="I19" s="52">
        <v>7</v>
      </c>
      <c r="J19" s="52">
        <v>8</v>
      </c>
      <c r="K19" s="52">
        <v>9</v>
      </c>
      <c r="L19" s="52">
        <v>10</v>
      </c>
      <c r="M19" s="52">
        <v>11</v>
      </c>
      <c r="N19" s="52"/>
    </row>
    <row r="20" spans="1:14" ht="13.5" thickBot="1">
      <c r="A20" s="52">
        <v>50</v>
      </c>
      <c r="B20" s="161">
        <v>0.79</v>
      </c>
      <c r="C20" s="161">
        <v>0.791</v>
      </c>
      <c r="D20" s="161">
        <v>0.793</v>
      </c>
      <c r="E20" s="161">
        <v>0.794</v>
      </c>
      <c r="F20" s="161">
        <v>0.796</v>
      </c>
      <c r="G20" s="161">
        <v>0.798</v>
      </c>
      <c r="H20" s="161">
        <v>0.799</v>
      </c>
      <c r="I20" s="161">
        <v>0.801</v>
      </c>
      <c r="J20" s="161">
        <v>0.802</v>
      </c>
      <c r="K20" s="161">
        <v>0.804</v>
      </c>
      <c r="L20" s="161">
        <v>0.805</v>
      </c>
      <c r="M20" s="162">
        <v>0.807</v>
      </c>
      <c r="N20" s="51"/>
    </row>
    <row r="21" spans="1:14" ht="13.5" thickBot="1">
      <c r="A21" s="52">
        <v>51</v>
      </c>
      <c r="B21" s="161">
        <v>0.809</v>
      </c>
      <c r="C21" s="161">
        <v>0.81</v>
      </c>
      <c r="D21" s="161">
        <v>0.812</v>
      </c>
      <c r="E21" s="161">
        <v>0.813</v>
      </c>
      <c r="F21" s="161">
        <v>0.815</v>
      </c>
      <c r="G21" s="161">
        <v>0.817</v>
      </c>
      <c r="H21" s="161">
        <v>0.818</v>
      </c>
      <c r="I21" s="161">
        <v>0.82</v>
      </c>
      <c r="J21" s="161">
        <v>0.822</v>
      </c>
      <c r="K21" s="161">
        <v>0.823</v>
      </c>
      <c r="L21" s="161">
        <v>0.825</v>
      </c>
      <c r="M21" s="162">
        <v>0.826</v>
      </c>
      <c r="N21" s="51"/>
    </row>
    <row r="22" spans="1:14" ht="13.5" thickBot="1">
      <c r="A22" s="52">
        <v>52</v>
      </c>
      <c r="B22" s="161">
        <v>0.828</v>
      </c>
      <c r="C22" s="161">
        <v>0.83</v>
      </c>
      <c r="D22" s="161">
        <v>0.831</v>
      </c>
      <c r="E22" s="161">
        <v>0.833</v>
      </c>
      <c r="F22" s="161">
        <v>0.835</v>
      </c>
      <c r="G22" s="161">
        <v>0.836</v>
      </c>
      <c r="H22" s="161">
        <v>0.838</v>
      </c>
      <c r="I22" s="161">
        <v>0.84</v>
      </c>
      <c r="J22" s="161">
        <v>0.841</v>
      </c>
      <c r="K22" s="161">
        <v>0.843</v>
      </c>
      <c r="L22" s="161">
        <v>0.845</v>
      </c>
      <c r="M22" s="162">
        <v>0.846</v>
      </c>
      <c r="N22" s="51"/>
    </row>
    <row r="23" spans="1:14" ht="13.5" thickBot="1">
      <c r="A23" s="52">
        <v>53</v>
      </c>
      <c r="B23" s="161">
        <v>0.848</v>
      </c>
      <c r="C23" s="161">
        <v>0.85</v>
      </c>
      <c r="D23" s="161">
        <v>0.851</v>
      </c>
      <c r="E23" s="161">
        <v>0.853</v>
      </c>
      <c r="F23" s="161">
        <v>0.855</v>
      </c>
      <c r="G23" s="161">
        <v>0.856</v>
      </c>
      <c r="H23" s="161">
        <v>0.858</v>
      </c>
      <c r="I23" s="161">
        <v>0.86</v>
      </c>
      <c r="J23" s="161">
        <v>0.861</v>
      </c>
      <c r="K23" s="161">
        <v>0.863</v>
      </c>
      <c r="L23" s="161">
        <v>0.865</v>
      </c>
      <c r="M23" s="162">
        <v>0.867</v>
      </c>
      <c r="N23" s="51"/>
    </row>
    <row r="24" spans="1:14" ht="13.5" thickBot="1">
      <c r="A24" s="52">
        <v>54</v>
      </c>
      <c r="B24" s="161">
        <v>0.868</v>
      </c>
      <c r="C24" s="161">
        <v>0.87</v>
      </c>
      <c r="D24" s="161">
        <v>0.872</v>
      </c>
      <c r="E24" s="161">
        <v>0.873</v>
      </c>
      <c r="F24" s="161">
        <v>0.875</v>
      </c>
      <c r="G24" s="161">
        <v>0.877</v>
      </c>
      <c r="H24" s="161">
        <v>0.879</v>
      </c>
      <c r="I24" s="161">
        <v>0.88</v>
      </c>
      <c r="J24" s="161">
        <v>0.882</v>
      </c>
      <c r="K24" s="161">
        <v>0.884</v>
      </c>
      <c r="L24" s="161">
        <v>0.886</v>
      </c>
      <c r="M24" s="162">
        <v>0.887</v>
      </c>
      <c r="N24" s="51"/>
    </row>
    <row r="25" spans="1:14" ht="13.5" thickBot="1">
      <c r="A25" s="52">
        <v>55</v>
      </c>
      <c r="B25" s="161">
        <v>0.889</v>
      </c>
      <c r="C25" s="161">
        <v>0.891</v>
      </c>
      <c r="D25" s="161">
        <v>0.893</v>
      </c>
      <c r="E25" s="161">
        <v>0.894</v>
      </c>
      <c r="F25" s="161">
        <v>0.896</v>
      </c>
      <c r="G25" s="161">
        <v>0.898</v>
      </c>
      <c r="H25" s="161">
        <v>0.9</v>
      </c>
      <c r="I25" s="161">
        <v>0.902</v>
      </c>
      <c r="J25" s="161">
        <v>0.903</v>
      </c>
      <c r="K25" s="161">
        <v>0.905</v>
      </c>
      <c r="L25" s="161">
        <v>0.907</v>
      </c>
      <c r="M25" s="162">
        <v>0.909</v>
      </c>
      <c r="N25" s="51"/>
    </row>
    <row r="26" spans="1:14" ht="13.5" thickBot="1">
      <c r="A26" s="52">
        <v>56</v>
      </c>
      <c r="B26" s="161">
        <v>0.91</v>
      </c>
      <c r="C26" s="161">
        <v>0.912</v>
      </c>
      <c r="D26" s="161">
        <v>0.914</v>
      </c>
      <c r="E26" s="161">
        <v>0.916</v>
      </c>
      <c r="F26" s="161">
        <v>0.918</v>
      </c>
      <c r="G26" s="161">
        <v>0.919</v>
      </c>
      <c r="H26" s="161">
        <v>0.921</v>
      </c>
      <c r="I26" s="161">
        <v>0.923</v>
      </c>
      <c r="J26" s="161">
        <v>0.925</v>
      </c>
      <c r="K26" s="161">
        <v>0.927</v>
      </c>
      <c r="L26" s="161">
        <v>0.929</v>
      </c>
      <c r="M26" s="162">
        <v>0.93</v>
      </c>
      <c r="N26" s="51"/>
    </row>
    <row r="27" spans="1:14" ht="13.5" thickBot="1">
      <c r="A27" s="52">
        <v>57</v>
      </c>
      <c r="B27" s="161">
        <v>0.932</v>
      </c>
      <c r="C27" s="161">
        <v>0.934</v>
      </c>
      <c r="D27" s="161">
        <v>0.936</v>
      </c>
      <c r="E27" s="161">
        <v>0.938</v>
      </c>
      <c r="F27" s="161">
        <v>0.94</v>
      </c>
      <c r="G27" s="161">
        <v>0.942</v>
      </c>
      <c r="H27" s="161">
        <v>0.943</v>
      </c>
      <c r="I27" s="161">
        <v>0.945</v>
      </c>
      <c r="J27" s="161">
        <v>0.947</v>
      </c>
      <c r="K27" s="161">
        <v>0.949</v>
      </c>
      <c r="L27" s="161">
        <v>0.951</v>
      </c>
      <c r="M27" s="162">
        <v>0.953</v>
      </c>
      <c r="N27" s="51"/>
    </row>
    <row r="28" spans="1:14" ht="13.5" thickBot="1">
      <c r="A28" s="52">
        <v>58</v>
      </c>
      <c r="B28" s="161">
        <v>0.955</v>
      </c>
      <c r="C28" s="161">
        <v>0.957</v>
      </c>
      <c r="D28" s="161">
        <v>0.958</v>
      </c>
      <c r="E28" s="161">
        <v>0.96</v>
      </c>
      <c r="F28" s="161">
        <v>0.962</v>
      </c>
      <c r="G28" s="161">
        <v>0.964</v>
      </c>
      <c r="H28" s="161">
        <v>0.966</v>
      </c>
      <c r="I28" s="161">
        <v>0.968</v>
      </c>
      <c r="J28" s="161">
        <v>0.97</v>
      </c>
      <c r="K28" s="161">
        <v>0.972</v>
      </c>
      <c r="L28" s="161">
        <v>0.974</v>
      </c>
      <c r="M28" s="162">
        <v>0.976</v>
      </c>
      <c r="N28" s="51"/>
    </row>
    <row r="29" spans="1:14" ht="13.5" thickBot="1">
      <c r="A29" s="52">
        <v>59</v>
      </c>
      <c r="B29" s="161">
        <v>0.978</v>
      </c>
      <c r="C29" s="161">
        <v>0.979</v>
      </c>
      <c r="D29" s="161">
        <v>0.981</v>
      </c>
      <c r="E29" s="161">
        <v>0.983</v>
      </c>
      <c r="F29" s="161">
        <v>0.985</v>
      </c>
      <c r="G29" s="161">
        <v>0.987</v>
      </c>
      <c r="H29" s="161">
        <v>0.989</v>
      </c>
      <c r="I29" s="161">
        <v>0.991</v>
      </c>
      <c r="J29" s="161">
        <v>0.993</v>
      </c>
      <c r="K29" s="161">
        <v>0.995</v>
      </c>
      <c r="L29" s="161">
        <v>0.997</v>
      </c>
      <c r="M29" s="162">
        <v>0.999</v>
      </c>
      <c r="N29" s="51"/>
    </row>
    <row r="30" spans="1:14" ht="12.75">
      <c r="A30" s="51"/>
      <c r="B30" s="51"/>
      <c r="C30" s="51"/>
      <c r="D30" s="51"/>
      <c r="E30" s="51"/>
      <c r="F30" s="51"/>
      <c r="G30" s="51"/>
      <c r="H30" s="51"/>
      <c r="I30" s="51"/>
      <c r="J30" s="51"/>
      <c r="K30" s="51"/>
      <c r="L30" s="51"/>
      <c r="M30" s="51"/>
      <c r="N30" s="51"/>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4"/>
  <dimension ref="A1:K84"/>
  <sheetViews>
    <sheetView zoomScalePageLayoutView="0" workbookViewId="0" topLeftCell="A1">
      <selection activeCell="A1" sqref="A1"/>
    </sheetView>
  </sheetViews>
  <sheetFormatPr defaultColWidth="9.140625" defaultRowHeight="12.75"/>
  <cols>
    <col min="1" max="1" width="24.421875" style="0" bestFit="1" customWidth="1"/>
    <col min="2" max="2" width="18.57421875" style="0" customWidth="1"/>
    <col min="3" max="3" width="10.28125" style="0" customWidth="1"/>
    <col min="4" max="4" width="10.28125" style="0" bestFit="1" customWidth="1"/>
    <col min="5" max="5" width="12.28125" style="0" customWidth="1"/>
    <col min="6" max="6" width="12.7109375" style="0" customWidth="1"/>
    <col min="7" max="7" width="12.57421875" style="0" bestFit="1" customWidth="1"/>
    <col min="8" max="8" width="30.28125" style="0" bestFit="1" customWidth="1"/>
  </cols>
  <sheetData>
    <row r="1" ht="13.5" thickBot="1">
      <c r="A1" s="25" t="s">
        <v>57</v>
      </c>
    </row>
    <row r="2" spans="1:7" ht="13.5" thickBot="1">
      <c r="A2" t="s">
        <v>32</v>
      </c>
      <c r="B2" s="3">
        <f>'inputs and results'!G15</f>
        <v>0</v>
      </c>
      <c r="C2" s="3">
        <f>IF(D2&lt;&gt;"LS",'inputs and results'!K15,0)</f>
        <v>1</v>
      </c>
      <c r="D2" t="str">
        <f>IF(B2="lump sum","LS","periodicals")</f>
        <v>periodicals</v>
      </c>
      <c r="F2" t="s">
        <v>48</v>
      </c>
      <c r="G2" s="58">
        <f>'Variable information'!B9</f>
        <v>0</v>
      </c>
    </row>
    <row r="3" spans="1:11" ht="12.75">
      <c r="A3" t="s">
        <v>33</v>
      </c>
      <c r="B3" s="3" t="s">
        <v>59</v>
      </c>
      <c r="C3" t="str">
        <f>IF(B3="pension for self only","self","self+")</f>
        <v>self+</v>
      </c>
      <c r="F3" t="s">
        <v>31</v>
      </c>
      <c r="G3" s="21">
        <v>7300</v>
      </c>
      <c r="I3" t="s">
        <v>52</v>
      </c>
      <c r="J3" t="s">
        <v>73</v>
      </c>
      <c r="K3" t="s">
        <v>74</v>
      </c>
    </row>
    <row r="4" spans="1:11" ht="12.75">
      <c r="A4" t="s">
        <v>34</v>
      </c>
      <c r="B4" s="3" t="str">
        <f>IF('inputs and results'!G20&lt;&gt;"","savings","target pension")</f>
        <v>target pension</v>
      </c>
      <c r="F4" t="s">
        <v>61</v>
      </c>
      <c r="G4" s="45">
        <v>0.055</v>
      </c>
      <c r="H4" t="s">
        <v>65</v>
      </c>
      <c r="I4" s="53">
        <f>IF(AND($C$6&gt;=50,$C$6&lt;60),VLOOKUP($H$9,'early retirement'!$A$5:$M$14,2+H10),1)</f>
        <v>1</v>
      </c>
      <c r="J4" s="53">
        <f>IF(AND($C$6&gt;=50,$C$6&lt;60),VLOOKUP($H$9,'early retirement'!$A$20:$M$29,2+H10),1)</f>
        <v>1</v>
      </c>
      <c r="K4">
        <f>IF(J4&lt;&gt;0,J4/I4,1)</f>
        <v>1</v>
      </c>
    </row>
    <row r="5" spans="1:8" ht="12.75">
      <c r="A5" t="s">
        <v>35</v>
      </c>
      <c r="B5" s="3">
        <f>IF(B4="savings",'inputs and results'!G20,'inputs and results'!G22)</f>
        <v>0</v>
      </c>
      <c r="F5" s="5">
        <f>MAX(G5,H5)</f>
        <v>45315</v>
      </c>
      <c r="G5" s="5">
        <v>39356</v>
      </c>
      <c r="H5" s="5">
        <f ca="1">TODAY()</f>
        <v>45315</v>
      </c>
    </row>
    <row r="6" spans="1:6" ht="12.75">
      <c r="A6" t="s">
        <v>5</v>
      </c>
      <c r="B6" s="3">
        <v>60</v>
      </c>
      <c r="C6" s="90">
        <f>IF(E6="enter a date",MAX(B9,E7),E6)</f>
        <v>75</v>
      </c>
      <c r="D6" s="4">
        <f>'inputs and results'!J17</f>
        <v>0</v>
      </c>
      <c r="E6" s="3">
        <v>75</v>
      </c>
      <c r="F6" s="5">
        <f>DATE(YEAR(F5)-60,MONTH(F5),DAY(F5))</f>
        <v>23400</v>
      </c>
    </row>
    <row r="7" spans="1:5" ht="13.5" thickBot="1">
      <c r="A7" t="s">
        <v>3</v>
      </c>
      <c r="B7" s="4">
        <f>'inputs and results'!G7</f>
        <v>0</v>
      </c>
      <c r="C7" s="5">
        <f>DATE(B6+YEAR(B7),MONTH(B7),DAY(B7))</f>
        <v>21915</v>
      </c>
      <c r="D7">
        <f>IF(MONTH(B7)&lt;=3,0,1)</f>
        <v>0</v>
      </c>
      <c r="E7" s="89">
        <f>ROUND(YEAR(D6)-YEAR(B7)+(D6-DATE(YEAR(D6),MONTH(B7),DAY(B7)))/365,4)</f>
        <v>0</v>
      </c>
    </row>
    <row r="8" spans="1:8" ht="13.5" thickBot="1">
      <c r="A8" t="s">
        <v>49</v>
      </c>
      <c r="B8" s="26">
        <f>'Variable information'!D4</f>
        <v>45315</v>
      </c>
      <c r="C8">
        <f>IF(OR(MONTH(B8)&lt;=3,AND(MONTH(B8)=4,DAY(B8)=1)),1,0)</f>
        <v>1</v>
      </c>
      <c r="D8" s="17">
        <f>DATE(YEAR(B8)+1-C8,4,1)</f>
        <v>45383</v>
      </c>
      <c r="E8">
        <f>IF(MONTH(D8)&lt;=3,1,0)</f>
        <v>0</v>
      </c>
      <c r="H8" t="s">
        <v>87</v>
      </c>
    </row>
    <row r="9" spans="1:9" ht="12.75">
      <c r="A9" t="s">
        <v>54</v>
      </c>
      <c r="B9" s="2">
        <f>YEAR(B8)-YEAR($B$7)+(B8-DATE(YEAR(B8),MONTH($B$7),DAY($B$7)))/365</f>
        <v>124.06575342465753</v>
      </c>
      <c r="C9" s="2"/>
      <c r="D9" s="2">
        <f>ROUNDDOWN(YEAR(D8)-YEAR($B$7)+(D8-DATE(YEAR(D8),MONTH($B$7),DAY($B$7)))/365,0)</f>
        <v>124</v>
      </c>
      <c r="E9">
        <f>ROUNDDOWN(YEAR(D8)-YEAR($B$7)+(D8-DATE(YEAR(D8),MONTH($B$7),DAY($B$7)))/365,0)</f>
        <v>124</v>
      </c>
      <c r="F9" s="2"/>
      <c r="H9" s="91">
        <f>INT(C6)</f>
        <v>75</v>
      </c>
      <c r="I9" t="s">
        <v>22</v>
      </c>
    </row>
    <row r="10" spans="1:10" ht="12.75">
      <c r="A10" t="s">
        <v>4</v>
      </c>
      <c r="B10" s="2">
        <f>MAX(0,YEAR($C$7)-YEAR(B8)+C8+D7-1)</f>
        <v>0</v>
      </c>
      <c r="C10" s="2"/>
      <c r="D10" s="2">
        <f>MAX(0,YEAR($C$7)-YEAR(D8)+E8+D7-1)</f>
        <v>0</v>
      </c>
      <c r="G10" s="15"/>
      <c r="H10" s="91">
        <f>J10+IF(J10&lt;0,12,0)</f>
        <v>0</v>
      </c>
      <c r="I10" t="s">
        <v>88</v>
      </c>
      <c r="J10" s="22">
        <f>IF(E6="enter a date",(MONTH(D6)-MONTH(B7))-IF(DAY(D6)&lt;DAY(B7),1,0),0)</f>
        <v>0</v>
      </c>
    </row>
    <row r="11" spans="1:10" ht="12.75">
      <c r="A11" t="s">
        <v>12</v>
      </c>
      <c r="B11" s="6" t="str">
        <f>'inputs and results'!G9</f>
        <v>female</v>
      </c>
      <c r="C11" t="str">
        <f>LEFT(B11)</f>
        <v>f</v>
      </c>
      <c r="D11">
        <f>IF(C3="self+",8,IF(C11="f",5,4))</f>
        <v>8</v>
      </c>
      <c r="E11">
        <f>IF(C3="self+",7,IF(C11="f",3,2))</f>
        <v>7</v>
      </c>
      <c r="J11" s="22"/>
    </row>
    <row r="12" spans="1:8" ht="25.5" customHeight="1">
      <c r="A12" s="11" t="s">
        <v>47</v>
      </c>
      <c r="B12" s="13"/>
      <c r="E12" s="11" t="s">
        <v>50</v>
      </c>
      <c r="H12" s="11" t="s">
        <v>115</v>
      </c>
    </row>
    <row r="13" spans="1:9" ht="12.75">
      <c r="A13" t="s">
        <v>6</v>
      </c>
      <c r="B13" s="2">
        <f>VLOOKUP(INT($B$9),'factors - classic'!$A$6:$H$65,$E$11)</f>
        <v>17.11</v>
      </c>
      <c r="E13" t="s">
        <v>51</v>
      </c>
      <c r="F13">
        <f>INT(G2)</f>
        <v>0</v>
      </c>
      <c r="H13" t="s">
        <v>116</v>
      </c>
      <c r="I13">
        <f>VLOOKUP(INT($D$9),'factors - classic'!$A$6:$H$65,$D$11)</f>
        <v>17.43</v>
      </c>
    </row>
    <row r="14" spans="1:9" ht="12.75">
      <c r="A14" t="s">
        <v>7</v>
      </c>
      <c r="B14" s="2">
        <f>VLOOKUP(INT($B$9)+1,'factors - classic'!$A$6:$H$65,$E$11)</f>
        <v>17.11</v>
      </c>
      <c r="E14" t="s">
        <v>55</v>
      </c>
      <c r="F14" s="2">
        <f>B9</f>
        <v>124.06575342465753</v>
      </c>
      <c r="G14" s="24"/>
      <c r="H14" t="s">
        <v>117</v>
      </c>
      <c r="I14">
        <f>VLOOKUP($D$10,'factors - classic'!$J$6:$K$56,2)</f>
        <v>1</v>
      </c>
    </row>
    <row r="15" spans="1:9" ht="12.75">
      <c r="A15" t="s">
        <v>8</v>
      </c>
      <c r="B15" s="2">
        <f>B13</f>
        <v>17.11</v>
      </c>
      <c r="C15" s="2">
        <f>ROUND(B13+(B14-B13)*(B9-INT(B9)),4)</f>
        <v>17.11</v>
      </c>
      <c r="E15" t="s">
        <v>6</v>
      </c>
      <c r="F15">
        <f>VLOOKUP(INT(F14),'factors - classic'!A67:E128,$F$13+2)</f>
        <v>1</v>
      </c>
      <c r="H15" t="s">
        <v>118</v>
      </c>
      <c r="I15">
        <f>I13*I14</f>
        <v>17.43</v>
      </c>
    </row>
    <row r="16" spans="1:9" ht="12.75">
      <c r="A16" t="s">
        <v>9</v>
      </c>
      <c r="B16" s="2">
        <f>VLOOKUP($B$10,'factors - classic'!$J$6:$K$56,2)</f>
        <v>1</v>
      </c>
      <c r="E16" t="s">
        <v>7</v>
      </c>
      <c r="F16">
        <f>VLOOKUP(INT(F14),'factors - classic'!A69:E128,F13+3)</f>
        <v>1</v>
      </c>
      <c r="H16" t="s">
        <v>119</v>
      </c>
      <c r="I16" s="7">
        <f>D21/I15*C2</f>
        <v>0</v>
      </c>
    </row>
    <row r="17" spans="1:6" ht="12.75">
      <c r="A17" t="s">
        <v>29</v>
      </c>
      <c r="B17" s="2">
        <f>ROUND(B15*B16,4)</f>
        <v>17.11</v>
      </c>
      <c r="E17" t="s">
        <v>8</v>
      </c>
      <c r="F17" s="2">
        <f>ROUND(F15+(F16-F15)*(G2-INT(G2)),4)</f>
        <v>1</v>
      </c>
    </row>
    <row r="18" spans="1:3" ht="12.75">
      <c r="A18" t="s">
        <v>10</v>
      </c>
      <c r="B18" s="18">
        <f>F17</f>
        <v>1</v>
      </c>
      <c r="C18" s="15"/>
    </row>
    <row r="19" spans="1:2" ht="12.75">
      <c r="A19" t="s">
        <v>11</v>
      </c>
      <c r="B19" s="2">
        <f>ROUND(B17*B18,4)</f>
        <v>17.11</v>
      </c>
    </row>
    <row r="20" ht="12.75">
      <c r="H20" t="s">
        <v>30</v>
      </c>
    </row>
    <row r="21" spans="1:9" ht="12.75">
      <c r="A21" t="s">
        <v>13</v>
      </c>
      <c r="B21" s="8">
        <f>IF(D2="periodicals",'inputs and results'!G20,0)</f>
        <v>0</v>
      </c>
      <c r="C21" t="s">
        <v>14</v>
      </c>
      <c r="D21" s="7">
        <f>B21*12</f>
        <v>0</v>
      </c>
      <c r="E21" s="20">
        <f>I16</f>
        <v>0</v>
      </c>
      <c r="F21" t="s">
        <v>15</v>
      </c>
      <c r="H21" s="16" t="e">
        <f>G3/(12*D22*IF(E32&gt;1,E32,1))</f>
        <v>#DIV/0!</v>
      </c>
      <c r="I21" t="s">
        <v>14</v>
      </c>
    </row>
    <row r="22" spans="2:5" ht="12.75">
      <c r="B22" s="10">
        <f>C2</f>
        <v>1</v>
      </c>
      <c r="C22" t="s">
        <v>22</v>
      </c>
      <c r="D22" s="12">
        <f>VLOOKUP(B22,A35:G79,7)</f>
        <v>0</v>
      </c>
      <c r="E22" s="7"/>
    </row>
    <row r="23" spans="2:9" ht="12.75">
      <c r="B23" s="8">
        <f>IF(D2="LS",'inputs and results'!G20,0)</f>
        <v>0</v>
      </c>
      <c r="C23" t="s">
        <v>16</v>
      </c>
      <c r="D23" s="12">
        <f>IF(B22&lt;&gt;0,VLOOKUP(B22,$A$35:$H$79,8),0)</f>
        <v>125</v>
      </c>
      <c r="E23" s="20">
        <f>B23/B19*F32</f>
        <v>0</v>
      </c>
      <c r="F23" t="s">
        <v>15</v>
      </c>
      <c r="H23" s="16">
        <f>G3*B19/(IF(F32&gt;1,F32,1))</f>
        <v>124903</v>
      </c>
      <c r="I23" t="s">
        <v>26</v>
      </c>
    </row>
    <row r="24" spans="2:8" ht="12.75">
      <c r="B24" s="7"/>
      <c r="D24" s="12"/>
      <c r="H24" s="16"/>
    </row>
    <row r="25" spans="1:9" ht="12.75">
      <c r="A25" t="s">
        <v>27</v>
      </c>
      <c r="B25" s="8">
        <f>IF(D2="LS",'inputs and results'!G22,0)</f>
        <v>0</v>
      </c>
      <c r="C25" t="s">
        <v>17</v>
      </c>
      <c r="E25" s="20">
        <f>B25*B19/F32</f>
        <v>0</v>
      </c>
      <c r="F25" t="s">
        <v>16</v>
      </c>
      <c r="H25" s="16">
        <f>G3</f>
        <v>7300</v>
      </c>
      <c r="I25" t="s">
        <v>52</v>
      </c>
    </row>
    <row r="26" spans="1:8" ht="12.75">
      <c r="A26" s="9" t="s">
        <v>28</v>
      </c>
      <c r="B26" s="8">
        <f>IF(D2="periodicals",'inputs and results'!G22,0)</f>
        <v>0</v>
      </c>
      <c r="C26" t="s">
        <v>17</v>
      </c>
      <c r="E26" s="20" t="e">
        <f>B26/(D22*12*E32)</f>
        <v>#DIV/0!</v>
      </c>
      <c r="F26" t="s">
        <v>14</v>
      </c>
      <c r="H26" s="16">
        <f>G3</f>
        <v>7300</v>
      </c>
    </row>
    <row r="27" spans="1:8" ht="12.75">
      <c r="A27" s="9"/>
      <c r="B27" s="19"/>
      <c r="E27" s="7"/>
      <c r="H27" s="16"/>
    </row>
    <row r="28" spans="1:8" ht="12.75">
      <c r="A28" s="9" t="s">
        <v>53</v>
      </c>
      <c r="B28" s="20" t="e">
        <f>IF(AND(D2="LS",B4="savings"),E23,IF(AND(D2="periodicals",B4="savings"),E21,IF(D2="LS",E25,E26)))</f>
        <v>#DIV/0!</v>
      </c>
      <c r="D28" t="s">
        <v>30</v>
      </c>
      <c r="E28" s="20" t="e">
        <f>INDEX(H21:H26,MATCH(B28,E21:E26,0))</f>
        <v>#DIV/0!</v>
      </c>
      <c r="F28" s="20" t="e">
        <f>INDEX(B21:B26,MATCH(B28,E21:E26,0))</f>
        <v>#DIV/0!</v>
      </c>
      <c r="H28" s="16"/>
    </row>
    <row r="29" spans="1:8" ht="12.75">
      <c r="A29" s="9" t="e">
        <f>IF(AND(OR('inputs and results'!G11="no",B2="monthly contributions"),F28&gt;E28),"The maximum contribution you can pay is "&amp;TEXT(E28,"£#,###.00")&amp;"","")</f>
        <v>#DIV/0!</v>
      </c>
      <c r="B29" s="19"/>
      <c r="E29" s="7" t="s">
        <v>66</v>
      </c>
      <c r="F29" t="s">
        <v>16</v>
      </c>
      <c r="H29" s="16"/>
    </row>
    <row r="30" spans="1:8" ht="12.75">
      <c r="A30" s="9" t="str">
        <f>IF(C2&gt;D10,"These contributions take you beyond age 65","")</f>
        <v>These contributions take you beyond age 65</v>
      </c>
      <c r="B30" s="19"/>
      <c r="C30" t="s">
        <v>63</v>
      </c>
      <c r="E30" s="12">
        <f>MAX(0,MIN(C6-D23,C6-B6))</f>
        <v>0</v>
      </c>
      <c r="F30" s="2">
        <f>MAX(0,MIN(C6-D9,C6-B6))</f>
        <v>0</v>
      </c>
      <c r="H30" s="16"/>
    </row>
    <row r="31" spans="3:6" ht="12.75">
      <c r="C31" t="s">
        <v>64</v>
      </c>
      <c r="E31" s="12">
        <f>MAX(0,B6-C6)</f>
        <v>0</v>
      </c>
      <c r="F31" s="12">
        <f>E31</f>
        <v>0</v>
      </c>
    </row>
    <row r="32" spans="3:6" ht="12.75">
      <c r="C32" t="s">
        <v>67</v>
      </c>
      <c r="E32" s="12">
        <v>1</v>
      </c>
      <c r="F32" s="12">
        <v>1</v>
      </c>
    </row>
    <row r="33" ht="12.75">
      <c r="A33" s="11" t="s">
        <v>46</v>
      </c>
    </row>
    <row r="34" spans="1:10" ht="12.75">
      <c r="A34" t="s">
        <v>18</v>
      </c>
      <c r="B34" t="s">
        <v>6</v>
      </c>
      <c r="C34" t="s">
        <v>7</v>
      </c>
      <c r="D34" t="s">
        <v>20</v>
      </c>
      <c r="E34" t="s">
        <v>19</v>
      </c>
      <c r="F34" t="s">
        <v>21</v>
      </c>
      <c r="G34" t="s">
        <v>23</v>
      </c>
      <c r="H34" t="s">
        <v>62</v>
      </c>
      <c r="J34" t="s">
        <v>86</v>
      </c>
    </row>
    <row r="35" spans="1:10" ht="12.75">
      <c r="A35">
        <v>1</v>
      </c>
      <c r="B35" s="2">
        <f>VLOOKUP(INT($D$9),'factors - classic'!$A$6:$H$65,$D$11)</f>
        <v>17.43</v>
      </c>
      <c r="C35" s="2">
        <f>VLOOKUP(INT($D$9)+1,'factors - classic'!$A$6:$H$65,$D$11)</f>
        <v>17.43</v>
      </c>
      <c r="D35" s="2">
        <f>ROUND(B35+(C35-B35)*($D$9-INT($D$9)),4)</f>
        <v>17.43</v>
      </c>
      <c r="E35" s="2">
        <f>VLOOKUP($D$10,'factors - classic'!$J$6:$K$56,2)</f>
        <v>1</v>
      </c>
      <c r="F35" s="2">
        <f>E35*D35</f>
        <v>17.43</v>
      </c>
      <c r="G35" s="2">
        <f>J35/F35</f>
        <v>0</v>
      </c>
      <c r="H35" s="2">
        <f>$D$9+A35</f>
        <v>125</v>
      </c>
      <c r="I35" s="2">
        <f>H35-INT(H35)</f>
        <v>0</v>
      </c>
      <c r="J35">
        <f>IF(H35&lt;$C$6,1,IF(H35-$C$6&lt;1,1-(H35-$C$6),0))</f>
        <v>0</v>
      </c>
    </row>
    <row r="36" spans="1:10" ht="12.75">
      <c r="A36">
        <v>2</v>
      </c>
      <c r="B36" s="2">
        <f>VLOOKUP(INT($D$9+A36-1),'factors - classic'!$A$6:$H$65,$D$11)</f>
        <v>17.43</v>
      </c>
      <c r="C36" s="2">
        <f>VLOOKUP(INT($D$9)+A36,'factors - classic'!$A$6:$H$65,$D$11)</f>
        <v>17.43</v>
      </c>
      <c r="D36" s="2">
        <f aca="true" t="shared" si="0" ref="D36:D79">ROUND(B36+(C36-B36)*($D$9-INT($D$9)),4)</f>
        <v>17.43</v>
      </c>
      <c r="E36" s="2">
        <f>VLOOKUP(MAX(0,$D$10+1-A36),'factors - classic'!$J$6:$K$56,2)</f>
        <v>1</v>
      </c>
      <c r="F36" s="2">
        <f>E36*D36</f>
        <v>17.43</v>
      </c>
      <c r="G36" s="2">
        <f>G35*(1+IF(H36&gt;=61,$G$4,IF(H36&gt;=60,$G$4*$I$35,0)))+J36/F36</f>
        <v>0</v>
      </c>
      <c r="H36" s="2">
        <f aca="true" t="shared" si="1" ref="H36:H79">$D$9+A36</f>
        <v>126</v>
      </c>
      <c r="J36">
        <f aca="true" t="shared" si="2" ref="J36:J79">IF(H36&lt;$C$6,1,IF(H36-$C$6&lt;1,1-(H36-$C$6),0))</f>
        <v>0</v>
      </c>
    </row>
    <row r="37" spans="1:10" ht="12.75">
      <c r="A37">
        <v>3</v>
      </c>
      <c r="B37" s="2">
        <f>VLOOKUP(INT($D$9+A37-1),'factors - classic'!$A$6:$H$65,$D$11)</f>
        <v>17.43</v>
      </c>
      <c r="C37" s="2">
        <f>VLOOKUP(INT($D$9)+A37,'factors - classic'!$A$6:$H$65,$D$11)</f>
        <v>17.43</v>
      </c>
      <c r="D37" s="2">
        <f t="shared" si="0"/>
        <v>17.43</v>
      </c>
      <c r="E37" s="2">
        <f>VLOOKUP(MAX(0,$D$10+1-A37),'factors - classic'!$J$6:$K$56,2)</f>
        <v>1</v>
      </c>
      <c r="F37" s="2">
        <f aca="true" t="shared" si="3" ref="F37:F64">E37*D37</f>
        <v>17.43</v>
      </c>
      <c r="G37" s="2">
        <f aca="true" t="shared" si="4" ref="G37:G79">G36*(1+IF(H37&gt;=61,$G$4,IF(H37&gt;=60,$G$4*$I$35,0)))+J37/F37</f>
        <v>0</v>
      </c>
      <c r="H37" s="2">
        <f t="shared" si="1"/>
        <v>127</v>
      </c>
      <c r="J37">
        <f t="shared" si="2"/>
        <v>0</v>
      </c>
    </row>
    <row r="38" spans="1:10" ht="12.75">
      <c r="A38">
        <v>4</v>
      </c>
      <c r="B38" s="2">
        <f>VLOOKUP(INT($D$9+A38-1),'factors - classic'!$A$6:$H$65,$D$11)</f>
        <v>17.43</v>
      </c>
      <c r="C38" s="2">
        <f>VLOOKUP(INT($D$9)+A38,'factors - classic'!$A$6:$H$65,$D$11)</f>
        <v>17.43</v>
      </c>
      <c r="D38" s="2">
        <f t="shared" si="0"/>
        <v>17.43</v>
      </c>
      <c r="E38" s="2">
        <f>VLOOKUP(MAX(0,$D$10+1-A38),'factors - classic'!$J$6:$K$56,2)</f>
        <v>1</v>
      </c>
      <c r="F38" s="2">
        <f t="shared" si="3"/>
        <v>17.43</v>
      </c>
      <c r="G38" s="2">
        <f t="shared" si="4"/>
        <v>0</v>
      </c>
      <c r="H38" s="2">
        <f t="shared" si="1"/>
        <v>128</v>
      </c>
      <c r="J38">
        <f t="shared" si="2"/>
        <v>0</v>
      </c>
    </row>
    <row r="39" spans="1:10" ht="12.75">
      <c r="A39">
        <v>5</v>
      </c>
      <c r="B39" s="2">
        <f>VLOOKUP(INT($D$9+A39-1),'factors - classic'!$A$6:$H$65,$D$11)</f>
        <v>17.43</v>
      </c>
      <c r="C39" s="2">
        <f>VLOOKUP(INT($D$9)+A39,'factors - classic'!$A$6:$H$65,$D$11)</f>
        <v>17.43</v>
      </c>
      <c r="D39" s="2">
        <f t="shared" si="0"/>
        <v>17.43</v>
      </c>
      <c r="E39" s="2">
        <f>VLOOKUP(MAX(0,$D$10+1-A39),'factors - classic'!$J$6:$K$56,2)</f>
        <v>1</v>
      </c>
      <c r="F39" s="2">
        <f t="shared" si="3"/>
        <v>17.43</v>
      </c>
      <c r="G39" s="2">
        <f t="shared" si="4"/>
        <v>0</v>
      </c>
      <c r="H39" s="2">
        <f t="shared" si="1"/>
        <v>129</v>
      </c>
      <c r="J39">
        <f t="shared" si="2"/>
        <v>0</v>
      </c>
    </row>
    <row r="40" spans="1:10" ht="12.75">
      <c r="A40">
        <v>6</v>
      </c>
      <c r="B40" s="2">
        <f>VLOOKUP(INT($D$9+A40-1),'factors - classic'!$A$6:$H$65,$D$11)</f>
        <v>17.43</v>
      </c>
      <c r="C40" s="2">
        <f>VLOOKUP(INT($D$9)+A40,'factors - classic'!$A$6:$H$65,$D$11)</f>
        <v>17.43</v>
      </c>
      <c r="D40" s="2">
        <f t="shared" si="0"/>
        <v>17.43</v>
      </c>
      <c r="E40" s="2">
        <f>VLOOKUP(MAX(0,$D$10+1-A40),'factors - classic'!$J$6:$K$56,2)</f>
        <v>1</v>
      </c>
      <c r="F40" s="2">
        <f t="shared" si="3"/>
        <v>17.43</v>
      </c>
      <c r="G40" s="2">
        <f t="shared" si="4"/>
        <v>0</v>
      </c>
      <c r="H40" s="2">
        <f t="shared" si="1"/>
        <v>130</v>
      </c>
      <c r="J40">
        <f t="shared" si="2"/>
        <v>0</v>
      </c>
    </row>
    <row r="41" spans="1:10" ht="12.75">
      <c r="A41">
        <v>7</v>
      </c>
      <c r="B41" s="2">
        <f>VLOOKUP(INT($D$9+A41-1),'factors - classic'!$A$6:$H$65,$D$11)</f>
        <v>17.43</v>
      </c>
      <c r="C41" s="2">
        <f>VLOOKUP(INT($D$9)+A41,'factors - classic'!$A$6:$H$65,$D$11)</f>
        <v>17.43</v>
      </c>
      <c r="D41" s="2">
        <f t="shared" si="0"/>
        <v>17.43</v>
      </c>
      <c r="E41" s="2">
        <f>VLOOKUP(MAX(0,$D$10+1-A41),'factors - classic'!$J$6:$K$56,2)</f>
        <v>1</v>
      </c>
      <c r="F41" s="2">
        <f t="shared" si="3"/>
        <v>17.43</v>
      </c>
      <c r="G41" s="2">
        <f t="shared" si="4"/>
        <v>0</v>
      </c>
      <c r="H41" s="2">
        <f t="shared" si="1"/>
        <v>131</v>
      </c>
      <c r="J41">
        <f t="shared" si="2"/>
        <v>0</v>
      </c>
    </row>
    <row r="42" spans="1:10" ht="12.75">
      <c r="A42">
        <v>8</v>
      </c>
      <c r="B42" s="2">
        <f>VLOOKUP(INT($D$9+A42-1),'factors - classic'!$A$6:$H$65,$D$11)</f>
        <v>17.43</v>
      </c>
      <c r="C42" s="2">
        <f>VLOOKUP(INT($D$9)+A42,'factors - classic'!$A$6:$H$65,$D$11)</f>
        <v>17.43</v>
      </c>
      <c r="D42" s="2">
        <f t="shared" si="0"/>
        <v>17.43</v>
      </c>
      <c r="E42" s="2">
        <f>VLOOKUP(MAX(0,$D$10+1-A42),'factors - classic'!$J$6:$K$56,2)</f>
        <v>1</v>
      </c>
      <c r="F42" s="2">
        <f t="shared" si="3"/>
        <v>17.43</v>
      </c>
      <c r="G42" s="2">
        <f t="shared" si="4"/>
        <v>0</v>
      </c>
      <c r="H42" s="2">
        <f t="shared" si="1"/>
        <v>132</v>
      </c>
      <c r="J42">
        <f t="shared" si="2"/>
        <v>0</v>
      </c>
    </row>
    <row r="43" spans="1:10" ht="12.75">
      <c r="A43">
        <v>9</v>
      </c>
      <c r="B43" s="2">
        <f>VLOOKUP(INT($D$9+A43-1),'factors - classic'!$A$6:$H$65,$D$11)</f>
        <v>17.43</v>
      </c>
      <c r="C43" s="2">
        <f>VLOOKUP(INT($D$9)+A43,'factors - classic'!$A$6:$H$65,$D$11)</f>
        <v>17.43</v>
      </c>
      <c r="D43" s="2">
        <f t="shared" si="0"/>
        <v>17.43</v>
      </c>
      <c r="E43" s="2">
        <f>VLOOKUP(MAX(0,$D$10+1-A43),'factors - classic'!$J$6:$K$56,2)</f>
        <v>1</v>
      </c>
      <c r="F43" s="2">
        <f t="shared" si="3"/>
        <v>17.43</v>
      </c>
      <c r="G43" s="2">
        <f t="shared" si="4"/>
        <v>0</v>
      </c>
      <c r="H43" s="2">
        <f t="shared" si="1"/>
        <v>133</v>
      </c>
      <c r="J43">
        <f t="shared" si="2"/>
        <v>0</v>
      </c>
    </row>
    <row r="44" spans="1:10" ht="12.75">
      <c r="A44">
        <v>10</v>
      </c>
      <c r="B44" s="2">
        <f>VLOOKUP(INT($D$9+A44-1),'factors - classic'!$A$6:$H$65,$D$11)</f>
        <v>17.43</v>
      </c>
      <c r="C44" s="2">
        <f>VLOOKUP(INT($D$9)+A44,'factors - classic'!$A$6:$H$65,$D$11)</f>
        <v>17.43</v>
      </c>
      <c r="D44" s="2">
        <f t="shared" si="0"/>
        <v>17.43</v>
      </c>
      <c r="E44" s="2">
        <f>VLOOKUP(MAX(0,$D$10+1-A44),'factors - classic'!$J$6:$K$56,2)</f>
        <v>1</v>
      </c>
      <c r="F44" s="2">
        <f t="shared" si="3"/>
        <v>17.43</v>
      </c>
      <c r="G44" s="2">
        <f t="shared" si="4"/>
        <v>0</v>
      </c>
      <c r="H44" s="2">
        <f t="shared" si="1"/>
        <v>134</v>
      </c>
      <c r="J44">
        <f t="shared" si="2"/>
        <v>0</v>
      </c>
    </row>
    <row r="45" spans="1:10" ht="12.75">
      <c r="A45">
        <v>11</v>
      </c>
      <c r="B45" s="2">
        <f>VLOOKUP(INT($D$9+A45-1),'factors - classic'!$A$6:$H$65,$D$11)</f>
        <v>17.43</v>
      </c>
      <c r="C45" s="2">
        <f>VLOOKUP(INT($D$9)+A45,'factors - classic'!$A$6:$H$65,$D$11)</f>
        <v>17.43</v>
      </c>
      <c r="D45" s="2">
        <f t="shared" si="0"/>
        <v>17.43</v>
      </c>
      <c r="E45" s="2">
        <f>VLOOKUP(MAX(0,$D$10+1-A45),'factors - classic'!$J$6:$K$56,2)</f>
        <v>1</v>
      </c>
      <c r="F45" s="2">
        <f t="shared" si="3"/>
        <v>17.43</v>
      </c>
      <c r="G45" s="2">
        <f t="shared" si="4"/>
        <v>0</v>
      </c>
      <c r="H45" s="2">
        <f t="shared" si="1"/>
        <v>135</v>
      </c>
      <c r="J45">
        <f t="shared" si="2"/>
        <v>0</v>
      </c>
    </row>
    <row r="46" spans="1:10" ht="12.75">
      <c r="A46">
        <v>12</v>
      </c>
      <c r="B46" s="2">
        <f>VLOOKUP(INT($D$9+A46-1),'factors - classic'!$A$6:$H$65,$D$11)</f>
        <v>17.43</v>
      </c>
      <c r="C46" s="2">
        <f>VLOOKUP(INT($D$9)+A46,'factors - classic'!$A$6:$H$65,$D$11)</f>
        <v>17.43</v>
      </c>
      <c r="D46" s="2">
        <f t="shared" si="0"/>
        <v>17.43</v>
      </c>
      <c r="E46" s="2">
        <f>VLOOKUP(MAX(0,$D$10+1-A46),'factors - classic'!$J$6:$K$56,2)</f>
        <v>1</v>
      </c>
      <c r="F46" s="2">
        <f t="shared" si="3"/>
        <v>17.43</v>
      </c>
      <c r="G46" s="2">
        <f t="shared" si="4"/>
        <v>0</v>
      </c>
      <c r="H46" s="2">
        <f t="shared" si="1"/>
        <v>136</v>
      </c>
      <c r="J46">
        <f t="shared" si="2"/>
        <v>0</v>
      </c>
    </row>
    <row r="47" spans="1:10" ht="12.75">
      <c r="A47">
        <v>13</v>
      </c>
      <c r="B47" s="2">
        <f>VLOOKUP(INT($D$9+A47-1),'factors - classic'!$A$6:$H$65,$D$11)</f>
        <v>17.43</v>
      </c>
      <c r="C47" s="2">
        <f>VLOOKUP(INT($D$9)+A47,'factors - classic'!$A$6:$H$65,$D$11)</f>
        <v>17.43</v>
      </c>
      <c r="D47" s="2">
        <f t="shared" si="0"/>
        <v>17.43</v>
      </c>
      <c r="E47" s="2">
        <f>VLOOKUP(MAX(0,$D$10+1-A47),'factors - classic'!$J$6:$K$56,2)</f>
        <v>1</v>
      </c>
      <c r="F47" s="2">
        <f t="shared" si="3"/>
        <v>17.43</v>
      </c>
      <c r="G47" s="2">
        <f t="shared" si="4"/>
        <v>0</v>
      </c>
      <c r="H47" s="2">
        <f t="shared" si="1"/>
        <v>137</v>
      </c>
      <c r="J47">
        <f t="shared" si="2"/>
        <v>0</v>
      </c>
    </row>
    <row r="48" spans="1:10" ht="12.75">
      <c r="A48">
        <v>14</v>
      </c>
      <c r="B48" s="2">
        <f>VLOOKUP(INT($D$9+A48-1),'factors - classic'!$A$6:$H$65,$D$11)</f>
        <v>17.43</v>
      </c>
      <c r="C48" s="2">
        <f>VLOOKUP(INT($D$9)+A48,'factors - classic'!$A$6:$H$65,$D$11)</f>
        <v>17.43</v>
      </c>
      <c r="D48" s="2">
        <f t="shared" si="0"/>
        <v>17.43</v>
      </c>
      <c r="E48" s="2">
        <f>VLOOKUP(MAX(0,$D$10+1-A48),'factors - classic'!$J$6:$K$56,2)</f>
        <v>1</v>
      </c>
      <c r="F48" s="2">
        <f t="shared" si="3"/>
        <v>17.43</v>
      </c>
      <c r="G48" s="2">
        <f t="shared" si="4"/>
        <v>0</v>
      </c>
      <c r="H48" s="2">
        <f t="shared" si="1"/>
        <v>138</v>
      </c>
      <c r="J48">
        <f t="shared" si="2"/>
        <v>0</v>
      </c>
    </row>
    <row r="49" spans="1:10" ht="12.75">
      <c r="A49">
        <v>15</v>
      </c>
      <c r="B49" s="2">
        <f>VLOOKUP(INT($D$9+A49-1),'factors - classic'!$A$6:$H$65,$D$11)</f>
        <v>17.43</v>
      </c>
      <c r="C49" s="2">
        <f>VLOOKUP(INT($D$9)+A49,'factors - classic'!$A$6:$H$65,$D$11)</f>
        <v>17.43</v>
      </c>
      <c r="D49" s="2">
        <f t="shared" si="0"/>
        <v>17.43</v>
      </c>
      <c r="E49" s="2">
        <f>VLOOKUP(MAX(0,$D$10+1-A49),'factors - classic'!$J$6:$K$56,2)</f>
        <v>1</v>
      </c>
      <c r="F49" s="2">
        <f t="shared" si="3"/>
        <v>17.43</v>
      </c>
      <c r="G49" s="2">
        <f t="shared" si="4"/>
        <v>0</v>
      </c>
      <c r="H49" s="2">
        <f t="shared" si="1"/>
        <v>139</v>
      </c>
      <c r="J49">
        <f t="shared" si="2"/>
        <v>0</v>
      </c>
    </row>
    <row r="50" spans="1:10" ht="12.75">
      <c r="A50">
        <v>16</v>
      </c>
      <c r="B50" s="2">
        <f>VLOOKUP(INT($D$9+A50-1),'factors - classic'!$A$6:$H$65,$D$11)</f>
        <v>17.43</v>
      </c>
      <c r="C50" s="2">
        <f>VLOOKUP(INT($D$9)+A50,'factors - classic'!$A$6:$H$65,$D$11)</f>
        <v>17.43</v>
      </c>
      <c r="D50" s="2">
        <f t="shared" si="0"/>
        <v>17.43</v>
      </c>
      <c r="E50" s="2">
        <f>VLOOKUP(MAX(0,$D$10+1-A50),'factors - classic'!$J$6:$K$56,2)</f>
        <v>1</v>
      </c>
      <c r="F50" s="2">
        <f t="shared" si="3"/>
        <v>17.43</v>
      </c>
      <c r="G50" s="2">
        <f t="shared" si="4"/>
        <v>0</v>
      </c>
      <c r="H50" s="2">
        <f t="shared" si="1"/>
        <v>140</v>
      </c>
      <c r="J50">
        <f t="shared" si="2"/>
        <v>0</v>
      </c>
    </row>
    <row r="51" spans="1:10" ht="12.75">
      <c r="A51">
        <v>17</v>
      </c>
      <c r="B51" s="2">
        <f>VLOOKUP(INT($D$9+A51-1),'factors - classic'!$A$6:$H$65,$D$11)</f>
        <v>17.43</v>
      </c>
      <c r="C51" s="2">
        <f>VLOOKUP(INT($D$9)+A51,'factors - classic'!$A$6:$H$65,$D$11)</f>
        <v>17.43</v>
      </c>
      <c r="D51" s="2">
        <f t="shared" si="0"/>
        <v>17.43</v>
      </c>
      <c r="E51" s="2">
        <f>VLOOKUP(MAX(0,$D$10+1-A51),'factors - classic'!$J$6:$K$56,2)</f>
        <v>1</v>
      </c>
      <c r="F51" s="2">
        <f t="shared" si="3"/>
        <v>17.43</v>
      </c>
      <c r="G51" s="2">
        <f t="shared" si="4"/>
        <v>0</v>
      </c>
      <c r="H51" s="2">
        <f t="shared" si="1"/>
        <v>141</v>
      </c>
      <c r="J51">
        <f t="shared" si="2"/>
        <v>0</v>
      </c>
    </row>
    <row r="52" spans="1:10" ht="12.75">
      <c r="A52">
        <v>18</v>
      </c>
      <c r="B52" s="2">
        <f>VLOOKUP(INT($D$9+A52-1),'factors - classic'!$A$6:$H$65,$D$11)</f>
        <v>17.43</v>
      </c>
      <c r="C52" s="2">
        <f>VLOOKUP(INT($D$9)+A52,'factors - classic'!$A$6:$H$65,$D$11)</f>
        <v>17.43</v>
      </c>
      <c r="D52" s="2">
        <f t="shared" si="0"/>
        <v>17.43</v>
      </c>
      <c r="E52" s="2">
        <f>VLOOKUP(MAX(0,$D$10+1-A52),'factors - classic'!$J$6:$K$56,2)</f>
        <v>1</v>
      </c>
      <c r="F52" s="2">
        <f t="shared" si="3"/>
        <v>17.43</v>
      </c>
      <c r="G52" s="2">
        <f t="shared" si="4"/>
        <v>0</v>
      </c>
      <c r="H52" s="2">
        <f t="shared" si="1"/>
        <v>142</v>
      </c>
      <c r="J52">
        <f t="shared" si="2"/>
        <v>0</v>
      </c>
    </row>
    <row r="53" spans="1:10" ht="12.75">
      <c r="A53">
        <v>19</v>
      </c>
      <c r="B53" s="2">
        <f>VLOOKUP(INT($D$9+A53-1),'factors - classic'!$A$6:$H$65,$D$11)</f>
        <v>17.43</v>
      </c>
      <c r="C53" s="2">
        <f>VLOOKUP(INT($D$9)+A53,'factors - classic'!$A$6:$H$65,$D$11)</f>
        <v>17.43</v>
      </c>
      <c r="D53" s="2">
        <f t="shared" si="0"/>
        <v>17.43</v>
      </c>
      <c r="E53" s="2">
        <f>VLOOKUP(MAX(0,$D$10+1-A53),'factors - classic'!$J$6:$K$56,2)</f>
        <v>1</v>
      </c>
      <c r="F53" s="2">
        <f t="shared" si="3"/>
        <v>17.43</v>
      </c>
      <c r="G53" s="2">
        <f t="shared" si="4"/>
        <v>0</v>
      </c>
      <c r="H53" s="2">
        <f t="shared" si="1"/>
        <v>143</v>
      </c>
      <c r="J53">
        <f t="shared" si="2"/>
        <v>0</v>
      </c>
    </row>
    <row r="54" spans="1:10" ht="12.75">
      <c r="A54">
        <v>20</v>
      </c>
      <c r="B54" s="2">
        <f>VLOOKUP(INT($D$9+A54-1),'factors - classic'!$A$6:$H$65,$D$11)</f>
        <v>17.43</v>
      </c>
      <c r="C54" s="2">
        <f>VLOOKUP(INT($D$9)+A54,'factors - classic'!$A$6:$H$65,$D$11)</f>
        <v>17.43</v>
      </c>
      <c r="D54" s="2">
        <f t="shared" si="0"/>
        <v>17.43</v>
      </c>
      <c r="E54" s="2">
        <f>VLOOKUP(MAX(0,$D$10+1-A54),'factors - classic'!$J$6:$K$56,2)</f>
        <v>1</v>
      </c>
      <c r="F54" s="2">
        <f t="shared" si="3"/>
        <v>17.43</v>
      </c>
      <c r="G54" s="2">
        <f t="shared" si="4"/>
        <v>0</v>
      </c>
      <c r="H54" s="2">
        <f t="shared" si="1"/>
        <v>144</v>
      </c>
      <c r="J54">
        <f t="shared" si="2"/>
        <v>0</v>
      </c>
    </row>
    <row r="55" spans="1:10" ht="12.75">
      <c r="A55">
        <v>21</v>
      </c>
      <c r="B55" s="2">
        <f>VLOOKUP(INT($D$9+A55-1),'factors - classic'!$A$6:$H$65,$D$11)</f>
        <v>17.43</v>
      </c>
      <c r="C55" s="2">
        <f>VLOOKUP(INT($D$9)+A55,'factors - classic'!$A$6:$H$65,$D$11)</f>
        <v>17.43</v>
      </c>
      <c r="D55" s="2">
        <f t="shared" si="0"/>
        <v>17.43</v>
      </c>
      <c r="E55" s="2">
        <f>VLOOKUP(MAX(0,$D$10+1-A55),'factors - classic'!$J$6:$K$56,2)</f>
        <v>1</v>
      </c>
      <c r="F55" s="2">
        <f t="shared" si="3"/>
        <v>17.43</v>
      </c>
      <c r="G55" s="2">
        <f t="shared" si="4"/>
        <v>0</v>
      </c>
      <c r="H55" s="2">
        <f t="shared" si="1"/>
        <v>145</v>
      </c>
      <c r="J55">
        <f t="shared" si="2"/>
        <v>0</v>
      </c>
    </row>
    <row r="56" spans="1:10" ht="12.75">
      <c r="A56">
        <v>22</v>
      </c>
      <c r="B56" s="2">
        <f>VLOOKUP(INT($D$9+A56-1),'factors - classic'!$A$6:$H$65,$D$11)</f>
        <v>17.43</v>
      </c>
      <c r="C56" s="2">
        <f>VLOOKUP(INT($D$9)+A56,'factors - classic'!$A$6:$H$65,$D$11)</f>
        <v>17.43</v>
      </c>
      <c r="D56" s="2">
        <f t="shared" si="0"/>
        <v>17.43</v>
      </c>
      <c r="E56" s="2">
        <f>VLOOKUP(MAX(0,$D$10+1-A56),'factors - classic'!$J$6:$K$56,2)</f>
        <v>1</v>
      </c>
      <c r="F56" s="2">
        <f t="shared" si="3"/>
        <v>17.43</v>
      </c>
      <c r="G56" s="2">
        <f t="shared" si="4"/>
        <v>0</v>
      </c>
      <c r="H56" s="2">
        <f t="shared" si="1"/>
        <v>146</v>
      </c>
      <c r="J56">
        <f t="shared" si="2"/>
        <v>0</v>
      </c>
    </row>
    <row r="57" spans="1:10" ht="12.75">
      <c r="A57">
        <v>23</v>
      </c>
      <c r="B57" s="2">
        <f>VLOOKUP(INT($D$9+A57-1),'factors - classic'!$A$6:$H$65,$D$11)</f>
        <v>17.43</v>
      </c>
      <c r="C57" s="2">
        <f>VLOOKUP(INT($D$9)+A57,'factors - classic'!$A$6:$H$65,$D$11)</f>
        <v>17.43</v>
      </c>
      <c r="D57" s="2">
        <f t="shared" si="0"/>
        <v>17.43</v>
      </c>
      <c r="E57" s="2">
        <f>VLOOKUP(MAX(0,$D$10+1-A57),'factors - classic'!$J$6:$K$56,2)</f>
        <v>1</v>
      </c>
      <c r="F57" s="2">
        <f t="shared" si="3"/>
        <v>17.43</v>
      </c>
      <c r="G57" s="2">
        <f t="shared" si="4"/>
        <v>0</v>
      </c>
      <c r="H57" s="2">
        <f t="shared" si="1"/>
        <v>147</v>
      </c>
      <c r="J57">
        <f t="shared" si="2"/>
        <v>0</v>
      </c>
    </row>
    <row r="58" spans="1:10" ht="12.75">
      <c r="A58">
        <v>24</v>
      </c>
      <c r="B58" s="2">
        <f>VLOOKUP(INT($D$9+A58-1),'factors - classic'!$A$6:$H$65,$D$11)</f>
        <v>17.43</v>
      </c>
      <c r="C58" s="2">
        <f>VLOOKUP(INT($D$9)+A58,'factors - classic'!$A$6:$H$65,$D$11)</f>
        <v>17.43</v>
      </c>
      <c r="D58" s="2">
        <f t="shared" si="0"/>
        <v>17.43</v>
      </c>
      <c r="E58" s="2">
        <f>VLOOKUP(MAX(0,$D$10+1-A58),'factors - classic'!$J$6:$K$56,2)</f>
        <v>1</v>
      </c>
      <c r="F58" s="2">
        <f t="shared" si="3"/>
        <v>17.43</v>
      </c>
      <c r="G58" s="2">
        <f t="shared" si="4"/>
        <v>0</v>
      </c>
      <c r="H58" s="2">
        <f t="shared" si="1"/>
        <v>148</v>
      </c>
      <c r="J58">
        <f t="shared" si="2"/>
        <v>0</v>
      </c>
    </row>
    <row r="59" spans="1:10" ht="12.75">
      <c r="A59">
        <v>25</v>
      </c>
      <c r="B59" s="2">
        <f>VLOOKUP(INT($D$9+A59-1),'factors - classic'!$A$6:$H$65,$D$11)</f>
        <v>17.43</v>
      </c>
      <c r="C59" s="2">
        <f>VLOOKUP(INT($D$9)+A59,'factors - classic'!$A$6:$H$65,$D$11)</f>
        <v>17.43</v>
      </c>
      <c r="D59" s="2">
        <f t="shared" si="0"/>
        <v>17.43</v>
      </c>
      <c r="E59" s="2">
        <f>VLOOKUP(MAX(0,$D$10+1-A59),'factors - classic'!$J$6:$K$56,2)</f>
        <v>1</v>
      </c>
      <c r="F59" s="2">
        <f t="shared" si="3"/>
        <v>17.43</v>
      </c>
      <c r="G59" s="2">
        <f t="shared" si="4"/>
        <v>0</v>
      </c>
      <c r="H59" s="2">
        <f t="shared" si="1"/>
        <v>149</v>
      </c>
      <c r="J59">
        <f t="shared" si="2"/>
        <v>0</v>
      </c>
    </row>
    <row r="60" spans="1:10" ht="12.75">
      <c r="A60">
        <v>26</v>
      </c>
      <c r="B60" s="2">
        <f>VLOOKUP(INT($D$9+A60-1),'factors - classic'!$A$6:$H$65,$D$11)</f>
        <v>17.43</v>
      </c>
      <c r="C60" s="2">
        <f>VLOOKUP(INT($D$9)+A60,'factors - classic'!$A$6:$H$65,$D$11)</f>
        <v>17.43</v>
      </c>
      <c r="D60" s="2">
        <f t="shared" si="0"/>
        <v>17.43</v>
      </c>
      <c r="E60" s="2">
        <f>VLOOKUP(MAX(0,$D$10+1-A60),'factors - classic'!$J$6:$K$56,2)</f>
        <v>1</v>
      </c>
      <c r="F60" s="2">
        <f t="shared" si="3"/>
        <v>17.43</v>
      </c>
      <c r="G60" s="2">
        <f t="shared" si="4"/>
        <v>0</v>
      </c>
      <c r="H60" s="2">
        <f t="shared" si="1"/>
        <v>150</v>
      </c>
      <c r="J60">
        <f t="shared" si="2"/>
        <v>0</v>
      </c>
    </row>
    <row r="61" spans="1:10" ht="12.75">
      <c r="A61">
        <v>27</v>
      </c>
      <c r="B61" s="2">
        <f>VLOOKUP(INT($D$9+A61-1),'factors - classic'!$A$6:$H$65,$D$11)</f>
        <v>17.43</v>
      </c>
      <c r="C61" s="2">
        <f>VLOOKUP(INT($D$9)+A61,'factors - classic'!$A$6:$H$65,$D$11)</f>
        <v>17.43</v>
      </c>
      <c r="D61" s="2">
        <f t="shared" si="0"/>
        <v>17.43</v>
      </c>
      <c r="E61" s="2">
        <f>VLOOKUP(MAX(0,$D$10+1-A61),'factors - classic'!$J$6:$K$56,2)</f>
        <v>1</v>
      </c>
      <c r="F61" s="2">
        <f t="shared" si="3"/>
        <v>17.43</v>
      </c>
      <c r="G61" s="2">
        <f t="shared" si="4"/>
        <v>0</v>
      </c>
      <c r="H61" s="2">
        <f t="shared" si="1"/>
        <v>151</v>
      </c>
      <c r="J61">
        <f t="shared" si="2"/>
        <v>0</v>
      </c>
    </row>
    <row r="62" spans="1:10" ht="12.75">
      <c r="A62">
        <v>28</v>
      </c>
      <c r="B62" s="2">
        <f>VLOOKUP(INT($D$9+A62-1),'factors - classic'!$A$6:$H$65,$D$11)</f>
        <v>17.43</v>
      </c>
      <c r="C62" s="2">
        <f>VLOOKUP(INT($D$9)+A62,'factors - classic'!$A$6:$H$65,$D$11)</f>
        <v>17.43</v>
      </c>
      <c r="D62" s="2">
        <f t="shared" si="0"/>
        <v>17.43</v>
      </c>
      <c r="E62" s="2">
        <f>VLOOKUP(MAX(0,$D$10+1-A62),'factors - classic'!$J$6:$K$56,2)</f>
        <v>1</v>
      </c>
      <c r="F62" s="2">
        <f t="shared" si="3"/>
        <v>17.43</v>
      </c>
      <c r="G62" s="2">
        <f t="shared" si="4"/>
        <v>0</v>
      </c>
      <c r="H62" s="2">
        <f t="shared" si="1"/>
        <v>152</v>
      </c>
      <c r="J62">
        <f t="shared" si="2"/>
        <v>0</v>
      </c>
    </row>
    <row r="63" spans="1:10" ht="12.75">
      <c r="A63">
        <v>29</v>
      </c>
      <c r="B63" s="2">
        <f>VLOOKUP(INT($D$9+A63-1),'factors - classic'!$A$6:$H$65,$D$11)</f>
        <v>17.43</v>
      </c>
      <c r="C63" s="2">
        <f>VLOOKUP(INT($D$9)+A63,'factors - classic'!$A$6:$H$65,$D$11)</f>
        <v>17.43</v>
      </c>
      <c r="D63" s="2">
        <f t="shared" si="0"/>
        <v>17.43</v>
      </c>
      <c r="E63" s="2">
        <f>VLOOKUP(MAX(0,$D$10+1-A63),'factors - classic'!$J$6:$K$56,2)</f>
        <v>1</v>
      </c>
      <c r="F63" s="2">
        <f t="shared" si="3"/>
        <v>17.43</v>
      </c>
      <c r="G63" s="2">
        <f t="shared" si="4"/>
        <v>0</v>
      </c>
      <c r="H63" s="2">
        <f t="shared" si="1"/>
        <v>153</v>
      </c>
      <c r="J63">
        <f t="shared" si="2"/>
        <v>0</v>
      </c>
    </row>
    <row r="64" spans="1:10" ht="12.75">
      <c r="A64">
        <v>30</v>
      </c>
      <c r="B64" s="2">
        <f>VLOOKUP(INT($D$9+A64-1),'factors - classic'!$A$6:$H$65,$D$11)</f>
        <v>17.43</v>
      </c>
      <c r="C64" s="2">
        <f>VLOOKUP(INT($D$9)+A64,'factors - classic'!$A$6:$H$65,$D$11)</f>
        <v>17.43</v>
      </c>
      <c r="D64" s="2">
        <f t="shared" si="0"/>
        <v>17.43</v>
      </c>
      <c r="E64" s="2">
        <f>VLOOKUP(MAX(0,$D$10+1-A64),'factors - classic'!$J$6:$K$56,2)</f>
        <v>1</v>
      </c>
      <c r="F64" s="2">
        <f t="shared" si="3"/>
        <v>17.43</v>
      </c>
      <c r="G64" s="2">
        <f t="shared" si="4"/>
        <v>0</v>
      </c>
      <c r="H64" s="2">
        <f t="shared" si="1"/>
        <v>154</v>
      </c>
      <c r="J64">
        <f t="shared" si="2"/>
        <v>0</v>
      </c>
    </row>
    <row r="65" spans="1:10" ht="12.75">
      <c r="A65">
        <v>31</v>
      </c>
      <c r="B65" s="2">
        <f>VLOOKUP(INT($D$9+A65-1),'factors - classic'!$A$6:$H$65,$D$11)</f>
        <v>17.43</v>
      </c>
      <c r="C65" s="2">
        <f>VLOOKUP(INT($D$9)+A65,'factors - classic'!$A$6:$H$65,$D$11)</f>
        <v>17.43</v>
      </c>
      <c r="D65" s="2">
        <f t="shared" si="0"/>
        <v>17.43</v>
      </c>
      <c r="E65" s="2">
        <f>VLOOKUP(MAX(0,$D$10+1-A65),'factors - classic'!$J$6:$K$56,2)</f>
        <v>1</v>
      </c>
      <c r="F65" s="2">
        <f aca="true" t="shared" si="5" ref="F65:F79">E65*D65</f>
        <v>17.43</v>
      </c>
      <c r="G65" s="2">
        <f t="shared" si="4"/>
        <v>0</v>
      </c>
      <c r="H65" s="2">
        <f t="shared" si="1"/>
        <v>155</v>
      </c>
      <c r="J65">
        <f t="shared" si="2"/>
        <v>0</v>
      </c>
    </row>
    <row r="66" spans="1:10" ht="12.75">
      <c r="A66">
        <v>32</v>
      </c>
      <c r="B66" s="2">
        <f>VLOOKUP(INT($D$9+A66-1),'factors - classic'!$A$6:$H$65,$D$11)</f>
        <v>17.43</v>
      </c>
      <c r="C66" s="2">
        <f>VLOOKUP(INT($D$9)+A66,'factors - classic'!$A$6:$H$65,$D$11)</f>
        <v>17.43</v>
      </c>
      <c r="D66" s="2">
        <f t="shared" si="0"/>
        <v>17.43</v>
      </c>
      <c r="E66" s="2">
        <f>VLOOKUP(MAX(0,$D$10+1-A66),'factors - classic'!$J$6:$K$56,2)</f>
        <v>1</v>
      </c>
      <c r="F66" s="2">
        <f t="shared" si="5"/>
        <v>17.43</v>
      </c>
      <c r="G66" s="2">
        <f t="shared" si="4"/>
        <v>0</v>
      </c>
      <c r="H66" s="2">
        <f t="shared" si="1"/>
        <v>156</v>
      </c>
      <c r="J66">
        <f t="shared" si="2"/>
        <v>0</v>
      </c>
    </row>
    <row r="67" spans="1:10" ht="12.75">
      <c r="A67">
        <v>33</v>
      </c>
      <c r="B67" s="2">
        <f>VLOOKUP(INT($D$9+A67-1),'factors - classic'!$A$6:$H$65,$D$11)</f>
        <v>17.43</v>
      </c>
      <c r="C67" s="2">
        <f>VLOOKUP(INT($D$9)+A67,'factors - classic'!$A$6:$H$65,$D$11)</f>
        <v>17.43</v>
      </c>
      <c r="D67" s="2">
        <f t="shared" si="0"/>
        <v>17.43</v>
      </c>
      <c r="E67" s="2">
        <f>VLOOKUP(MAX(0,$D$10+1-A67),'factors - classic'!$J$6:$K$56,2)</f>
        <v>1</v>
      </c>
      <c r="F67" s="2">
        <f t="shared" si="5"/>
        <v>17.43</v>
      </c>
      <c r="G67" s="2">
        <f t="shared" si="4"/>
        <v>0</v>
      </c>
      <c r="H67" s="2">
        <f t="shared" si="1"/>
        <v>157</v>
      </c>
      <c r="J67">
        <f t="shared" si="2"/>
        <v>0</v>
      </c>
    </row>
    <row r="68" spans="1:10" ht="12.75">
      <c r="A68">
        <v>34</v>
      </c>
      <c r="B68" s="2">
        <f>VLOOKUP(INT($D$9+A68-1),'factors - classic'!$A$6:$H$65,$D$11)</f>
        <v>17.43</v>
      </c>
      <c r="C68" s="2">
        <f>VLOOKUP(INT($D$9)+A68,'factors - classic'!$A$6:$H$65,$D$11)</f>
        <v>17.43</v>
      </c>
      <c r="D68" s="2">
        <f t="shared" si="0"/>
        <v>17.43</v>
      </c>
      <c r="E68" s="2">
        <f>VLOOKUP(MAX(0,$D$10+1-A68),'factors - classic'!$J$6:$K$56,2)</f>
        <v>1</v>
      </c>
      <c r="F68" s="2">
        <f t="shared" si="5"/>
        <v>17.43</v>
      </c>
      <c r="G68" s="2">
        <f t="shared" si="4"/>
        <v>0</v>
      </c>
      <c r="H68" s="2">
        <f t="shared" si="1"/>
        <v>158</v>
      </c>
      <c r="J68">
        <f t="shared" si="2"/>
        <v>0</v>
      </c>
    </row>
    <row r="69" spans="1:10" ht="12.75">
      <c r="A69">
        <v>35</v>
      </c>
      <c r="B69" s="2">
        <f>VLOOKUP(INT($D$9+A69-1),'factors - classic'!$A$6:$H$65,$D$11)</f>
        <v>17.43</v>
      </c>
      <c r="C69" s="2">
        <f>VLOOKUP(INT($D$9)+A69,'factors - classic'!$A$6:$H$65,$D$11)</f>
        <v>17.43</v>
      </c>
      <c r="D69" s="2">
        <f t="shared" si="0"/>
        <v>17.43</v>
      </c>
      <c r="E69" s="2">
        <f>VLOOKUP(MAX(0,$D$10+1-A69),'factors - classic'!$J$6:$K$56,2)</f>
        <v>1</v>
      </c>
      <c r="F69" s="2">
        <f t="shared" si="5"/>
        <v>17.43</v>
      </c>
      <c r="G69" s="2">
        <f t="shared" si="4"/>
        <v>0</v>
      </c>
      <c r="H69" s="2">
        <f t="shared" si="1"/>
        <v>159</v>
      </c>
      <c r="J69">
        <f t="shared" si="2"/>
        <v>0</v>
      </c>
    </row>
    <row r="70" spans="1:10" ht="12.75">
      <c r="A70">
        <v>36</v>
      </c>
      <c r="B70" s="2">
        <f>VLOOKUP(INT($D$9+A70-1),'factors - classic'!$A$6:$H$65,$D$11)</f>
        <v>17.43</v>
      </c>
      <c r="C70" s="2">
        <f>VLOOKUP(INT($D$9)+A70,'factors - classic'!$A$6:$H$65,$D$11)</f>
        <v>17.43</v>
      </c>
      <c r="D70" s="2">
        <f t="shared" si="0"/>
        <v>17.43</v>
      </c>
      <c r="E70" s="2">
        <f>VLOOKUP(MAX(0,$D$10+1-A70),'factors - classic'!$J$6:$K$56,2)</f>
        <v>1</v>
      </c>
      <c r="F70" s="2">
        <f t="shared" si="5"/>
        <v>17.43</v>
      </c>
      <c r="G70" s="2">
        <f t="shared" si="4"/>
        <v>0</v>
      </c>
      <c r="H70" s="2">
        <f t="shared" si="1"/>
        <v>160</v>
      </c>
      <c r="J70">
        <f t="shared" si="2"/>
        <v>0</v>
      </c>
    </row>
    <row r="71" spans="1:10" ht="12.75">
      <c r="A71">
        <v>37</v>
      </c>
      <c r="B71" s="2">
        <f>VLOOKUP(INT($D$9+A71-1),'factors - classic'!$A$6:$H$65,$D$11)</f>
        <v>17.43</v>
      </c>
      <c r="C71" s="2">
        <f>VLOOKUP(INT($D$9)+A71,'factors - classic'!$A$6:$H$65,$D$11)</f>
        <v>17.43</v>
      </c>
      <c r="D71" s="2">
        <f t="shared" si="0"/>
        <v>17.43</v>
      </c>
      <c r="E71" s="2">
        <f>VLOOKUP(MAX(0,$D$10+1-A71),'factors - classic'!$J$6:$K$56,2)</f>
        <v>1</v>
      </c>
      <c r="F71" s="2">
        <f t="shared" si="5"/>
        <v>17.43</v>
      </c>
      <c r="G71" s="2">
        <f t="shared" si="4"/>
        <v>0</v>
      </c>
      <c r="H71" s="2">
        <f t="shared" si="1"/>
        <v>161</v>
      </c>
      <c r="J71">
        <f t="shared" si="2"/>
        <v>0</v>
      </c>
    </row>
    <row r="72" spans="1:10" ht="12.75">
      <c r="A72">
        <v>38</v>
      </c>
      <c r="B72" s="2">
        <f>VLOOKUP(INT($D$9+A72-1),'factors - classic'!$A$6:$H$65,$D$11)</f>
        <v>17.43</v>
      </c>
      <c r="C72" s="2">
        <f>VLOOKUP(INT($D$9)+A72,'factors - classic'!$A$6:$H$65,$D$11)</f>
        <v>17.43</v>
      </c>
      <c r="D72" s="2">
        <f t="shared" si="0"/>
        <v>17.43</v>
      </c>
      <c r="E72" s="2">
        <f>VLOOKUP(MAX(0,$D$10+1-A72),'factors - classic'!$J$6:$K$56,2)</f>
        <v>1</v>
      </c>
      <c r="F72" s="2">
        <f t="shared" si="5"/>
        <v>17.43</v>
      </c>
      <c r="G72" s="2">
        <f t="shared" si="4"/>
        <v>0</v>
      </c>
      <c r="H72" s="2">
        <f t="shared" si="1"/>
        <v>162</v>
      </c>
      <c r="J72">
        <f t="shared" si="2"/>
        <v>0</v>
      </c>
    </row>
    <row r="73" spans="1:10" ht="12.75">
      <c r="A73">
        <v>39</v>
      </c>
      <c r="B73" s="2">
        <f>VLOOKUP(INT($D$9+A73-1),'factors - classic'!$A$6:$H$65,$D$11)</f>
        <v>17.43</v>
      </c>
      <c r="C73" s="2">
        <f>VLOOKUP(INT($D$9)+A73,'factors - classic'!$A$6:$H$65,$D$11)</f>
        <v>17.43</v>
      </c>
      <c r="D73" s="2">
        <f t="shared" si="0"/>
        <v>17.43</v>
      </c>
      <c r="E73" s="2">
        <f>VLOOKUP(MAX(0,$D$10+1-A73),'factors - classic'!$J$6:$K$56,2)</f>
        <v>1</v>
      </c>
      <c r="F73" s="2">
        <f t="shared" si="5"/>
        <v>17.43</v>
      </c>
      <c r="G73" s="2">
        <f t="shared" si="4"/>
        <v>0</v>
      </c>
      <c r="H73" s="2">
        <f t="shared" si="1"/>
        <v>163</v>
      </c>
      <c r="J73">
        <f t="shared" si="2"/>
        <v>0</v>
      </c>
    </row>
    <row r="74" spans="1:10" ht="12.75">
      <c r="A74">
        <v>40</v>
      </c>
      <c r="B74" s="2">
        <f>VLOOKUP(INT($D$9+A74-1),'factors - classic'!$A$6:$H$65,$D$11)</f>
        <v>17.43</v>
      </c>
      <c r="C74" s="2">
        <f>VLOOKUP(INT($D$9)+A74,'factors - classic'!$A$6:$H$65,$D$11)</f>
        <v>17.43</v>
      </c>
      <c r="D74" s="2">
        <f t="shared" si="0"/>
        <v>17.43</v>
      </c>
      <c r="E74" s="2">
        <f>VLOOKUP(MAX(0,$D$10+1-A74),'factors - classic'!$J$6:$K$56,2)</f>
        <v>1</v>
      </c>
      <c r="F74" s="2">
        <f t="shared" si="5"/>
        <v>17.43</v>
      </c>
      <c r="G74" s="2">
        <f t="shared" si="4"/>
        <v>0</v>
      </c>
      <c r="H74" s="2">
        <f t="shared" si="1"/>
        <v>164</v>
      </c>
      <c r="J74">
        <f t="shared" si="2"/>
        <v>0</v>
      </c>
    </row>
    <row r="75" spans="1:10" ht="12.75">
      <c r="A75">
        <v>41</v>
      </c>
      <c r="B75" s="2">
        <f>VLOOKUP(INT($D$9+A75-1),'factors - classic'!$A$6:$H$65,$D$11)</f>
        <v>17.43</v>
      </c>
      <c r="C75" s="2">
        <f>VLOOKUP(INT($D$9)+A75,'factors - classic'!$A$6:$H$65,$D$11)</f>
        <v>17.43</v>
      </c>
      <c r="D75" s="2">
        <f t="shared" si="0"/>
        <v>17.43</v>
      </c>
      <c r="E75" s="2">
        <f>VLOOKUP(MAX(0,$D$10+1-A75),'factors - classic'!$J$6:$K$56,2)</f>
        <v>1</v>
      </c>
      <c r="F75" s="2">
        <f t="shared" si="5"/>
        <v>17.43</v>
      </c>
      <c r="G75" s="2">
        <f t="shared" si="4"/>
        <v>0</v>
      </c>
      <c r="H75" s="2">
        <f t="shared" si="1"/>
        <v>165</v>
      </c>
      <c r="J75">
        <f t="shared" si="2"/>
        <v>0</v>
      </c>
    </row>
    <row r="76" spans="1:10" ht="12.75">
      <c r="A76">
        <v>42</v>
      </c>
      <c r="B76" s="2">
        <f>VLOOKUP(INT($D$9+A76-1),'factors - classic'!$A$6:$H$65,$D$11)</f>
        <v>17.43</v>
      </c>
      <c r="C76" s="2">
        <f>VLOOKUP(INT($D$9)+A76,'factors - classic'!$A$6:$H$65,$D$11)</f>
        <v>17.43</v>
      </c>
      <c r="D76" s="2">
        <f t="shared" si="0"/>
        <v>17.43</v>
      </c>
      <c r="E76" s="2">
        <f>VLOOKUP(MAX(0,$D$10+1-A76),'factors - classic'!$J$6:$K$56,2)</f>
        <v>1</v>
      </c>
      <c r="F76" s="2">
        <f t="shared" si="5"/>
        <v>17.43</v>
      </c>
      <c r="G76" s="2">
        <f t="shared" si="4"/>
        <v>0</v>
      </c>
      <c r="H76" s="2">
        <f t="shared" si="1"/>
        <v>166</v>
      </c>
      <c r="J76">
        <f t="shared" si="2"/>
        <v>0</v>
      </c>
    </row>
    <row r="77" spans="1:10" ht="12.75">
      <c r="A77">
        <v>43</v>
      </c>
      <c r="B77" s="2">
        <f>VLOOKUP(INT($D$9+A77-1),'factors - classic'!$A$6:$H$65,$D$11)</f>
        <v>17.43</v>
      </c>
      <c r="C77" s="2">
        <f>VLOOKUP(INT($D$9)+A77,'factors - classic'!$A$6:$H$65,$D$11)</f>
        <v>17.43</v>
      </c>
      <c r="D77" s="2">
        <f t="shared" si="0"/>
        <v>17.43</v>
      </c>
      <c r="E77" s="2">
        <f>VLOOKUP(MAX(0,$D$10+1-A77),'factors - classic'!$J$6:$K$56,2)</f>
        <v>1</v>
      </c>
      <c r="F77" s="2">
        <f t="shared" si="5"/>
        <v>17.43</v>
      </c>
      <c r="G77" s="2">
        <f t="shared" si="4"/>
        <v>0</v>
      </c>
      <c r="H77" s="2">
        <f t="shared" si="1"/>
        <v>167</v>
      </c>
      <c r="J77">
        <f t="shared" si="2"/>
        <v>0</v>
      </c>
    </row>
    <row r="78" spans="1:10" ht="12.75">
      <c r="A78">
        <v>44</v>
      </c>
      <c r="B78" s="2">
        <f>VLOOKUP(INT($D$9+A78-1),'factors - classic'!$A$6:$H$65,$D$11)</f>
        <v>17.43</v>
      </c>
      <c r="C78" s="2">
        <f>VLOOKUP(INT($D$9)+A78,'factors - classic'!$A$6:$H$65,$D$11)</f>
        <v>17.43</v>
      </c>
      <c r="D78" s="2">
        <f t="shared" si="0"/>
        <v>17.43</v>
      </c>
      <c r="E78" s="2">
        <f>VLOOKUP(MAX(0,$D$10+1-A78),'factors - classic'!$J$6:$K$56,2)</f>
        <v>1</v>
      </c>
      <c r="F78" s="2">
        <f t="shared" si="5"/>
        <v>17.43</v>
      </c>
      <c r="G78" s="2">
        <f t="shared" si="4"/>
        <v>0</v>
      </c>
      <c r="H78" s="2">
        <f t="shared" si="1"/>
        <v>168</v>
      </c>
      <c r="J78">
        <f t="shared" si="2"/>
        <v>0</v>
      </c>
    </row>
    <row r="79" spans="1:10" ht="12.75">
      <c r="A79">
        <v>45</v>
      </c>
      <c r="B79" s="2">
        <f>VLOOKUP(INT($D$9+A79-1),'factors - classic'!$A$6:$H$65,$D$11)</f>
        <v>17.43</v>
      </c>
      <c r="C79" s="2">
        <f>VLOOKUP(INT($D$9)+A79,'factors - classic'!$A$6:$H$65,$D$11)</f>
        <v>17.43</v>
      </c>
      <c r="D79" s="2">
        <f t="shared" si="0"/>
        <v>17.43</v>
      </c>
      <c r="E79" s="2">
        <f>VLOOKUP(MAX(0,$D$10+1-A79),'factors - classic'!$J$6:$K$56,2)</f>
        <v>1</v>
      </c>
      <c r="F79" s="2">
        <f t="shared" si="5"/>
        <v>17.43</v>
      </c>
      <c r="G79" s="2">
        <f t="shared" si="4"/>
        <v>0</v>
      </c>
      <c r="H79" s="2">
        <f t="shared" si="1"/>
        <v>169</v>
      </c>
      <c r="J79">
        <f t="shared" si="2"/>
        <v>0</v>
      </c>
    </row>
    <row r="81" spans="1:2" ht="12.75">
      <c r="A81" t="s">
        <v>56</v>
      </c>
      <c r="B81" s="5">
        <f>IF(B2="lump sum",B8,D8)</f>
        <v>45383</v>
      </c>
    </row>
    <row r="83" ht="12.75">
      <c r="A83" t="str">
        <f>IF(B84=1,"You are older than age 75!",IF(B84=2,"Contributions go on beyond latest retirement date"," "))</f>
        <v>You are older than age 75!</v>
      </c>
    </row>
    <row r="84" spans="1:3" ht="12.75">
      <c r="A84" t="s">
        <v>68</v>
      </c>
      <c r="B84">
        <f>IF(AND(C6&lt;B9,C6&lt;&gt;0),1,IF(AND(D23-C6&gt;=1,C6&lt;&gt;0),2,0))</f>
        <v>1</v>
      </c>
      <c r="C84">
        <f>IF(OR(C6=0,B2=0,B7=0),9,0)</f>
        <v>9</v>
      </c>
    </row>
  </sheetData>
  <sheetProtection sheet="1"/>
  <printOptions/>
  <pageMargins left="0.75" right="0.75" top="1" bottom="1" header="0.5" footer="0.5"/>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 Wood</dc:creator>
  <cp:keywords/>
  <dc:description/>
  <cp:lastModifiedBy>Kye Honor - JSS</cp:lastModifiedBy>
  <cp:lastPrinted>2022-02-10T11:42:04Z</cp:lastPrinted>
  <dcterms:created xsi:type="dcterms:W3CDTF">2007-03-09T16:04:42Z</dcterms:created>
  <dcterms:modified xsi:type="dcterms:W3CDTF">2024-01-24T16:47:59Z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0x010100907A70D6EDB1B44E9D48930B4C4DC06C</vt:lpwstr>
  </property>
  <property fmtid="{D5CDD505-2E9C-101B-9397-08002B2CF9AE}" pid="4" name="TaxCatchAll">
    <vt:lpwstr/>
  </property>
  <property fmtid="{D5CDD505-2E9C-101B-9397-08002B2CF9AE}" pid="5" name="lcf76f155ced4ddcb4097134ff3c332f">
    <vt:lpwstr/>
  </property>
</Properties>
</file>