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8800" windowHeight="12168" activeTab="0"/>
  </bookViews>
  <sheets>
    <sheet name="inputs and results" sheetId="1" r:id="rId1"/>
    <sheet name="Variable information" sheetId="2" state="hidden" r:id="rId2"/>
    <sheet name="changes" sheetId="3" state="hidden" r:id="rId3"/>
    <sheet name="factors - nuvos" sheetId="4" state="hidden" r:id="rId4"/>
    <sheet name="calcs - nuvos" sheetId="5" state="hidden" r:id="rId5"/>
  </sheets>
  <definedNames/>
  <calcPr fullCalcOnLoad="1"/>
</workbook>
</file>

<file path=xl/comments1.xml><?xml version="1.0" encoding="utf-8"?>
<comments xmlns="http://schemas.openxmlformats.org/spreadsheetml/2006/main">
  <authors>
    <author>Julia Wood</author>
  </authors>
  <commentList>
    <comment ref="M22" authorId="0">
      <text>
        <r>
          <rPr>
            <b/>
            <sz val="8"/>
            <rFont val="Tahoma"/>
            <family val="2"/>
          </rPr>
          <t>Julia Wood:</t>
        </r>
        <r>
          <rPr>
            <sz val="8"/>
            <rFont val="Tahoma"/>
            <family val="2"/>
          </rPr>
          <t xml:space="preserve">
1= target pension
2= how much will it cost</t>
        </r>
      </text>
    </comment>
  </commentList>
</comments>
</file>

<file path=xl/comments5.xml><?xml version="1.0" encoding="utf-8"?>
<comments xmlns="http://schemas.openxmlformats.org/spreadsheetml/2006/main">
  <authors>
    <author>Julia Wood</author>
    <author>Julia Wood </author>
    <author>Scott McGee</author>
    <author/>
    <author>Kye Honor - JSS</author>
  </authors>
  <commentList>
    <comment ref="D8" authorId="0">
      <text>
        <r>
          <rPr>
            <b/>
            <sz val="8"/>
            <rFont val="Tahoma"/>
            <family val="2"/>
          </rPr>
          <t>Julia Wood:</t>
        </r>
        <r>
          <rPr>
            <sz val="8"/>
            <rFont val="Tahoma"/>
            <family val="2"/>
          </rPr>
          <t xml:space="preserve">
start of next scheme year</t>
        </r>
      </text>
    </comment>
    <comment ref="D9" authorId="0">
      <text>
        <r>
          <rPr>
            <b/>
            <sz val="8"/>
            <rFont val="Tahoma"/>
            <family val="2"/>
          </rPr>
          <t>Julia Wood:</t>
        </r>
        <r>
          <rPr>
            <sz val="8"/>
            <rFont val="Tahoma"/>
            <family val="2"/>
          </rPr>
          <t xml:space="preserve">
age at next 1 April - for monthly contributions</t>
        </r>
      </text>
    </comment>
    <comment ref="D11" authorId="0">
      <text>
        <r>
          <rPr>
            <b/>
            <sz val="8"/>
            <rFont val="Tahoma"/>
            <family val="2"/>
          </rPr>
          <t>Julia Wood:</t>
        </r>
        <r>
          <rPr>
            <sz val="8"/>
            <rFont val="Tahoma"/>
            <family val="2"/>
          </rPr>
          <t xml:space="preserve">
the column for the appropriate periodical contribution rates</t>
        </r>
      </text>
    </comment>
    <comment ref="A13" authorId="0">
      <text>
        <r>
          <rPr>
            <b/>
            <sz val="8"/>
            <rFont val="Tahoma"/>
            <family val="2"/>
          </rPr>
          <t>Julia Wood:</t>
        </r>
        <r>
          <rPr>
            <sz val="8"/>
            <rFont val="Tahoma"/>
            <family val="2"/>
          </rPr>
          <t xml:space="preserve">
lump sum factors</t>
        </r>
      </text>
    </comment>
    <comment ref="B10" authorId="0">
      <text>
        <r>
          <rPr>
            <b/>
            <sz val="8"/>
            <rFont val="Tahoma"/>
            <family val="2"/>
          </rPr>
          <t>Julia Wood:</t>
        </r>
        <r>
          <rPr>
            <sz val="8"/>
            <rFont val="Tahoma"/>
            <family val="2"/>
          </rPr>
          <t xml:space="preserve">
use this for lump sum - no of Aprils to 65 (from previous 1 April)</t>
        </r>
      </text>
    </comment>
    <comment ref="D10" authorId="0">
      <text>
        <r>
          <rPr>
            <b/>
            <sz val="8"/>
            <rFont val="Tahoma"/>
            <family val="2"/>
          </rPr>
          <t>Julia Wood:</t>
        </r>
        <r>
          <rPr>
            <sz val="8"/>
            <rFont val="Tahoma"/>
            <family val="2"/>
          </rPr>
          <t xml:space="preserve">
use this for periodicals</t>
        </r>
      </text>
    </comment>
    <comment ref="B3" authorId="0">
      <text>
        <r>
          <rPr>
            <b/>
            <sz val="8"/>
            <rFont val="Tahoma"/>
            <family val="2"/>
          </rPr>
          <t>Julia Wood:</t>
        </r>
        <r>
          <rPr>
            <sz val="8"/>
            <rFont val="Tahoma"/>
            <family val="2"/>
          </rPr>
          <t xml:space="preserve">
self or self+partner</t>
        </r>
      </text>
    </comment>
    <comment ref="B2" authorId="0">
      <text>
        <r>
          <rPr>
            <b/>
            <sz val="8"/>
            <rFont val="Tahoma"/>
            <family val="2"/>
          </rPr>
          <t>Julia Wood:</t>
        </r>
        <r>
          <rPr>
            <sz val="8"/>
            <rFont val="Tahoma"/>
            <family val="2"/>
          </rPr>
          <t xml:space="preserve">
lump sum or periodical</t>
        </r>
      </text>
    </comment>
    <comment ref="B4" authorId="0">
      <text>
        <r>
          <rPr>
            <b/>
            <sz val="8"/>
            <rFont val="Tahoma"/>
            <family val="2"/>
          </rPr>
          <t>Julia Wood:</t>
        </r>
        <r>
          <rPr>
            <sz val="8"/>
            <rFont val="Tahoma"/>
            <family val="2"/>
          </rPr>
          <t xml:space="preserve">
target pension or defined contribution</t>
        </r>
      </text>
    </comment>
    <comment ref="C2" authorId="0">
      <text>
        <r>
          <rPr>
            <b/>
            <sz val="8"/>
            <rFont val="Tahoma"/>
            <family val="2"/>
          </rPr>
          <t>Julia Wood:</t>
        </r>
        <r>
          <rPr>
            <sz val="8"/>
            <rFont val="Tahoma"/>
            <family val="2"/>
          </rPr>
          <t xml:space="preserve">
no of years for monthly contributions</t>
        </r>
      </text>
    </comment>
    <comment ref="E11" authorId="1">
      <text>
        <r>
          <rPr>
            <b/>
            <sz val="8"/>
            <rFont val="Tahoma"/>
            <family val="2"/>
          </rPr>
          <t>Julia Wood :</t>
        </r>
        <r>
          <rPr>
            <sz val="8"/>
            <rFont val="Tahoma"/>
            <family val="2"/>
          </rPr>
          <t xml:space="preserve">
column for lump sum rate</t>
        </r>
      </text>
    </comment>
    <comment ref="D22" authorId="1">
      <text>
        <r>
          <rPr>
            <b/>
            <sz val="8"/>
            <rFont val="Tahoma"/>
            <family val="2"/>
          </rPr>
          <t>Julia Wood :</t>
        </r>
        <r>
          <rPr>
            <sz val="8"/>
            <rFont val="Tahoma"/>
            <family val="2"/>
          </rPr>
          <t xml:space="preserve">
cumulative pension purchased with £1pa</t>
        </r>
      </text>
    </comment>
    <comment ref="G34" authorId="1">
      <text>
        <r>
          <rPr>
            <b/>
            <sz val="8"/>
            <rFont val="Tahoma"/>
            <family val="2"/>
          </rPr>
          <t>Julia Wood :</t>
        </r>
        <r>
          <rPr>
            <sz val="8"/>
            <rFont val="Tahoma"/>
            <family val="2"/>
          </rPr>
          <t xml:space="preserve">
pension purchased with £1pa</t>
        </r>
      </text>
    </comment>
    <comment ref="B8" authorId="0">
      <text>
        <r>
          <rPr>
            <b/>
            <sz val="8"/>
            <rFont val="Tahoma"/>
            <family val="2"/>
          </rPr>
          <t>Julia Wood:</t>
        </r>
        <r>
          <rPr>
            <sz val="8"/>
            <rFont val="Tahoma"/>
            <family val="2"/>
          </rPr>
          <t xml:space="preserve">
At present, this needs to be input.  For working version, will show today's date</t>
        </r>
      </text>
    </comment>
    <comment ref="G2" authorId="0">
      <text>
        <r>
          <rPr>
            <b/>
            <sz val="8"/>
            <rFont val="Tahoma"/>
            <family val="2"/>
          </rPr>
          <t>Julia Wood:</t>
        </r>
        <r>
          <rPr>
            <sz val="8"/>
            <rFont val="Tahoma"/>
            <family val="2"/>
          </rPr>
          <t xml:space="preserve">
AMC rate and HMT max are picked up from "varaible information" sheet</t>
        </r>
      </text>
    </comment>
    <comment ref="C15" authorId="2">
      <text>
        <r>
          <rPr>
            <b/>
            <sz val="9"/>
            <rFont val="Tahoma"/>
            <family val="2"/>
          </rPr>
          <t>Scott McGee:</t>
        </r>
        <r>
          <rPr>
            <sz val="9"/>
            <rFont val="Tahoma"/>
            <family val="2"/>
          </rPr>
          <t xml:space="preserve">
Original Formula for Exact  Factor.</t>
        </r>
      </text>
    </comment>
    <comment ref="E21" authorId="3">
      <text>
        <r>
          <rPr>
            <sz val="10"/>
            <color indexed="8"/>
            <rFont val="Arial"/>
            <family val="2"/>
          </rPr>
          <t>======
ID#AAAAVPF7-yE
Scott McGee    (2022-02-10 12:29:26)
Original Logic: =D21*D22
has interpolation
2nd Logic Change = =D21/ROUND(B19,2)*C2</t>
        </r>
      </text>
    </comment>
    <comment ref="A30" authorId="4">
      <text>
        <r>
          <rPr>
            <b/>
            <sz val="9"/>
            <rFont val="Tahoma"/>
            <family val="0"/>
          </rPr>
          <t>Kye Honor - JSS:</t>
        </r>
        <r>
          <rPr>
            <sz val="9"/>
            <rFont val="Tahoma"/>
            <family val="0"/>
          </rPr>
          <t xml:space="preserve">
This message appears when monthly contribution is selected and number of years is greater than years to 65</t>
        </r>
      </text>
    </comment>
  </commentList>
</comments>
</file>

<file path=xl/sharedStrings.xml><?xml version="1.0" encoding="utf-8"?>
<sst xmlns="http://schemas.openxmlformats.org/spreadsheetml/2006/main" count="138" uniqueCount="115">
  <si>
    <t>Age last birthday</t>
  </si>
  <si>
    <t>Male</t>
  </si>
  <si>
    <t>female</t>
  </si>
  <si>
    <t>DOB</t>
  </si>
  <si>
    <t>No of 1 Aprils to PA</t>
  </si>
  <si>
    <t>pension age</t>
  </si>
  <si>
    <t>factor below</t>
  </si>
  <si>
    <t>factor above</t>
  </si>
  <si>
    <t>exact factor</t>
  </si>
  <si>
    <t>Aprils factor</t>
  </si>
  <si>
    <t>AMC adjustment</t>
  </si>
  <si>
    <t>lump sum rate</t>
  </si>
  <si>
    <t>m/f</t>
  </si>
  <si>
    <t>required level of contribution</t>
  </si>
  <si>
    <t>per month</t>
  </si>
  <si>
    <t>annual pension</t>
  </si>
  <si>
    <t>lump sum</t>
  </si>
  <si>
    <t>pa</t>
  </si>
  <si>
    <t>Year</t>
  </si>
  <si>
    <t>Aprils</t>
  </si>
  <si>
    <t>rate</t>
  </si>
  <si>
    <t>periodicals</t>
  </si>
  <si>
    <t>years</t>
  </si>
  <si>
    <t>cum purchase</t>
  </si>
  <si>
    <t>About you</t>
  </si>
  <si>
    <t>dd/mm/yyyy</t>
  </si>
  <si>
    <t>male</t>
  </si>
  <si>
    <t>Lump sum</t>
  </si>
  <si>
    <t>required amount of pension 1</t>
  </si>
  <si>
    <t>required pension 2</t>
  </si>
  <si>
    <t>lump sum rate before AMC</t>
  </si>
  <si>
    <t>Max</t>
  </si>
  <si>
    <t>HMT max</t>
  </si>
  <si>
    <t>Chosen contribution type</t>
  </si>
  <si>
    <t>Chosen pension</t>
  </si>
  <si>
    <t>Chosen calculation type</t>
  </si>
  <si>
    <t>Monetary amount input</t>
  </si>
  <si>
    <t>AMC</t>
  </si>
  <si>
    <t xml:space="preserve">Age </t>
  </si>
  <si>
    <t>Yield</t>
  </si>
  <si>
    <t>no of 1 Aprils to NPA</t>
  </si>
  <si>
    <t>Pension for self</t>
  </si>
  <si>
    <t>unisex</t>
  </si>
  <si>
    <t>monthly contributions</t>
  </si>
  <si>
    <t>pension for self only</t>
  </si>
  <si>
    <t>pension for self + dependants</t>
  </si>
  <si>
    <t xml:space="preserve">a year </t>
  </si>
  <si>
    <t xml:space="preserve">Either: </t>
  </si>
  <si>
    <t xml:space="preserve">Or: </t>
  </si>
  <si>
    <t>Pension for self + partner</t>
  </si>
  <si>
    <t>Periodicals calc</t>
  </si>
  <si>
    <t>Lump sum calcs</t>
  </si>
  <si>
    <t>AMC rate</t>
  </si>
  <si>
    <t>Quote date</t>
  </si>
  <si>
    <t>AMC calc</t>
  </si>
  <si>
    <t>column 1</t>
  </si>
  <si>
    <t>pension</t>
  </si>
  <si>
    <t>Required answer</t>
  </si>
  <si>
    <t>Age at quote date</t>
  </si>
  <si>
    <t>age at quote</t>
  </si>
  <si>
    <t>as at date</t>
  </si>
  <si>
    <t>AMC yield</t>
  </si>
  <si>
    <t>%</t>
  </si>
  <si>
    <t>Revaluation</t>
  </si>
  <si>
    <t>Note: uses the later of 30 July 2007 and today's date</t>
  </si>
  <si>
    <t>Note</t>
  </si>
  <si>
    <t>Note: Use AMC yield of 0.00 from July 2012 onwards</t>
  </si>
  <si>
    <t xml:space="preserve">What is your gender? </t>
  </si>
  <si>
    <t xml:space="preserve">How do you want to pay for your Added Pension? </t>
  </si>
  <si>
    <t xml:space="preserve">What sort of pension do you want to buy? </t>
  </si>
  <si>
    <t xml:space="preserve">What is your date of birth? </t>
  </si>
  <si>
    <t xml:space="preserve">How much do you want to save? </t>
  </si>
  <si>
    <t xml:space="preserve">How much pension do you want to buy? </t>
  </si>
  <si>
    <t>Your results</t>
  </si>
  <si>
    <t>About your added pension</t>
  </si>
  <si>
    <t>Important notes:</t>
  </si>
  <si>
    <t>enter a date</t>
  </si>
  <si>
    <t>The figures shown are an illustration of the current cost of buying added pension.</t>
  </si>
  <si>
    <t>If you increase your pension savings in any year over the Annual Allowance set by HM Revenue &amp; Customs, you may incur a tax charge. For more information, including examples, see the HM Revenue &amp; Customs website: www.hmrc.gov.uk</t>
  </si>
  <si>
    <t>This is a calculated value at today’s rates.</t>
  </si>
  <si>
    <t>Disclaimer:</t>
  </si>
  <si>
    <t>Every effort has been made to make this tool as accurate as possible, but in the event of any differences, the regulations will apply. This tool is based on the nuvos rules current at the time of publication and there is no guarantee that any part of the rules will not change in the future. You should not take anything in this tool as financial advice. You might want to consider contacting an Independent Financial Adviser (IFA) to discuss your retirement planning. You can find tips on finding an IFA by visiting the Financial Conduct Authority website: www.fca.org.uk</t>
  </si>
  <si>
    <t>If you have chosen added pension for self and dependants, this will provide a dependants' pension (paid after your death to a surviving wife, husband, civil partner or nominated partner) of 3/8 of your added pension.</t>
  </si>
  <si>
    <t>Added pension will be adjusted in line with prices.</t>
  </si>
  <si>
    <t>The cost shown is the gross amount. You will normally get income tax relief on these contributions. If you make your payment through payroll the tax relief will be applied automatically. If you make a lump sum purchase by cheque you will have to claim tax relief from HM Revenue &amp; Customs.</t>
  </si>
  <si>
    <t>If you have selected monthly contributions, the estimator assumes that these start from the next 1 April and run for a complete number of years.</t>
  </si>
  <si>
    <t>In most circumstances your added pension will come into payment at the same time as your nuvos pension. If you draw your pension before Normal Pension Age (NPA) it will be reduced for early payment. If you carry on working beyond your NPA, your pension will be increased for late payment.</t>
  </si>
  <si>
    <t>Added pension estimator -
for members of nuvos</t>
  </si>
  <si>
    <t>Please note that if you do not use the most recent version of the added pension estimator then the results will not be valid. The latest estimator is held on the JSS website: http://jsspensions.nerc.ac.uk/</t>
  </si>
  <si>
    <t>If you want to purchase added pension, the application form is available on the JSS website.</t>
  </si>
  <si>
    <t>The added pension estimator held on the JSS website uses the latest scheme specific calculation factors. These factors, and therefore the results, may be subject to change in the future.</t>
  </si>
  <si>
    <t>If you have selected monthly contributions, the estimator assumes that these start from the date that your contract starts and run for a complete number of years. You can request to cancel your monthly contributions at any time but you can only start again from the following 1 April. Lump sum purchases are assumed to be made at the contract start date. You cannot buy added pension by lump sum in your first 12 months of scheme membership.</t>
  </si>
  <si>
    <t>2022/23</t>
  </si>
  <si>
    <t>You can normally claim tax relief on contributions of up to 100% of your salary.</t>
  </si>
  <si>
    <t>New Perodical Calc</t>
  </si>
  <si>
    <t>Exact Factor</t>
  </si>
  <si>
    <t>Contribution Factor</t>
  </si>
  <si>
    <t>Exact Factor x Contribution Factor</t>
  </si>
  <si>
    <t>Monthly Rate</t>
  </si>
  <si>
    <t>Factor Table</t>
  </si>
  <si>
    <t>Factor Serial No</t>
  </si>
  <si>
    <t>Calculator for use after 1 Jan 2024</t>
  </si>
  <si>
    <t>If you have selected to pay contributions over a number of years, the resulting amount of added pension is based on the current age and factors. However, you should be aware that the factors underlying these calculations are reviewed regularly and the cost of this level of pension may change in the future.</t>
  </si>
  <si>
    <t>FACTORS EFFECTIVE 1 April 2024</t>
  </si>
  <si>
    <t>Version No</t>
  </si>
  <si>
    <t>Version Date</t>
  </si>
  <si>
    <t>Changes</t>
  </si>
  <si>
    <t>Amended note 5 to remove reference to pension increased if taken early or late because the calculator does not do this</t>
  </si>
  <si>
    <t>Hidden the gender drop down box (set to default value of 'female') - factors are unisex (see factor tables)</t>
  </si>
  <si>
    <t>Note 10 amended as per suggestion from Teresa</t>
  </si>
  <si>
    <t>Set 'how many years' for monthly contribution to default to 1</t>
  </si>
  <si>
    <t>Record of changes made by JSS</t>
  </si>
  <si>
    <t>Amended pension limit to 9000 in calcs-nuvos cell G3</t>
  </si>
  <si>
    <t xml:space="preserve">Please fill in all of the blue boxes and one of the orange boxes </t>
  </si>
  <si>
    <t>Amended A30 in Calcs so message only appears when someone selects Monthly Conts AND they choose to buy for more years than they have to reach age 65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</si>
</sst>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809]dd\ mmmm\ yyyy"/>
    <numFmt numFmtId="166" formatCode="&quot;£&quot;#,##0.00"/>
    <numFmt numFmtId="167" formatCode="#,##0.0000"/>
    <numFmt numFmtId="168" formatCode="&quot;£&quot;#,##0.0000"/>
    <numFmt numFmtId="169" formatCode="&quot;£&quot;#,##0"/>
    <numFmt numFmtId="170" formatCode="[$-F800]dddd\,\ mmmm\ dd\,\ yyyy"/>
    <numFmt numFmtId="171" formatCode="mmm\-yyyy"/>
    <numFmt numFmtId="172" formatCode="&quot;£&quot;#,##0.0"/>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ddmmmyyyy"/>
  </numFmts>
  <fonts count="78">
    <font>
      <sz val="10"/>
      <name val="Arial"/>
      <family val="0"/>
    </font>
    <font>
      <sz val="8"/>
      <name val="Arial"/>
      <family val="2"/>
    </font>
    <font>
      <b/>
      <sz val="10"/>
      <name val="Arial"/>
      <family val="2"/>
    </font>
    <font>
      <sz val="8"/>
      <name val="Tahoma"/>
      <family val="2"/>
    </font>
    <font>
      <b/>
      <sz val="8"/>
      <name val="Tahoma"/>
      <family val="2"/>
    </font>
    <font>
      <b/>
      <i/>
      <sz val="10"/>
      <color indexed="10"/>
      <name val="Arial"/>
      <family val="2"/>
    </font>
    <font>
      <b/>
      <sz val="10"/>
      <color indexed="10"/>
      <name val="Arial"/>
      <family val="2"/>
    </font>
    <font>
      <b/>
      <sz val="9"/>
      <name val="Tahoma"/>
      <family val="2"/>
    </font>
    <font>
      <sz val="9"/>
      <name val="Tahoma"/>
      <family val="2"/>
    </font>
    <font>
      <sz val="9"/>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3"/>
      <name val="Arial"/>
      <family val="2"/>
    </font>
    <font>
      <i/>
      <sz val="11"/>
      <color indexed="63"/>
      <name val="Arial"/>
      <family val="2"/>
    </font>
    <font>
      <b/>
      <sz val="11"/>
      <color indexed="63"/>
      <name val="Arial"/>
      <family val="2"/>
    </font>
    <font>
      <b/>
      <i/>
      <sz val="11"/>
      <color indexed="63"/>
      <name val="Arial"/>
      <family val="2"/>
    </font>
    <font>
      <b/>
      <sz val="11"/>
      <color indexed="10"/>
      <name val="Arial"/>
      <family val="2"/>
    </font>
    <font>
      <b/>
      <sz val="18"/>
      <color indexed="63"/>
      <name val="Arial"/>
      <family val="2"/>
    </font>
    <font>
      <sz val="18"/>
      <color indexed="63"/>
      <name val="Arial"/>
      <family val="2"/>
    </font>
    <font>
      <b/>
      <sz val="14"/>
      <color indexed="63"/>
      <name val="Arial"/>
      <family val="2"/>
    </font>
    <font>
      <sz val="10"/>
      <color indexed="63"/>
      <name val="Arial"/>
      <family val="2"/>
    </font>
    <font>
      <sz val="9"/>
      <color indexed="63"/>
      <name val="Arial"/>
      <family val="2"/>
    </font>
    <font>
      <b/>
      <sz val="10"/>
      <color indexed="8"/>
      <name val="Arial"/>
      <family val="2"/>
    </font>
    <font>
      <sz val="10"/>
      <color indexed="8"/>
      <name val="Calibri"/>
      <family val="2"/>
    </font>
    <font>
      <b/>
      <sz val="10"/>
      <color indexed="63"/>
      <name val="Arial"/>
      <family val="2"/>
    </font>
    <font>
      <sz val="12"/>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4D4E53"/>
      <name val="Arial"/>
      <family val="2"/>
    </font>
    <font>
      <i/>
      <sz val="11"/>
      <color rgb="FF4D4E53"/>
      <name val="Arial"/>
      <family val="2"/>
    </font>
    <font>
      <b/>
      <sz val="11"/>
      <color rgb="FF4D4E53"/>
      <name val="Arial"/>
      <family val="2"/>
    </font>
    <font>
      <b/>
      <i/>
      <sz val="11"/>
      <color rgb="FF4D4E53"/>
      <name val="Arial"/>
      <family val="2"/>
    </font>
    <font>
      <b/>
      <sz val="11"/>
      <color rgb="FFFF0000"/>
      <name val="Arial"/>
      <family val="2"/>
    </font>
    <font>
      <b/>
      <sz val="18"/>
      <color rgb="FF4D4E53"/>
      <name val="Arial"/>
      <family val="2"/>
    </font>
    <font>
      <sz val="18"/>
      <color rgb="FF4D4E53"/>
      <name val="Arial"/>
      <family val="2"/>
    </font>
    <font>
      <b/>
      <sz val="14"/>
      <color rgb="FF4D4E53"/>
      <name val="Arial"/>
      <family val="2"/>
    </font>
    <font>
      <sz val="10"/>
      <color rgb="FF4D4E53"/>
      <name val="Arial"/>
      <family val="2"/>
    </font>
    <font>
      <sz val="9"/>
      <color rgb="FF4D4E53"/>
      <name val="Arial"/>
      <family val="2"/>
    </font>
    <font>
      <b/>
      <sz val="10"/>
      <color rgb="FFFF0000"/>
      <name val="Arial"/>
      <family val="2"/>
    </font>
    <font>
      <b/>
      <sz val="10"/>
      <color theme="1"/>
      <name val="Arial"/>
      <family val="2"/>
    </font>
    <font>
      <sz val="10"/>
      <color theme="1"/>
      <name val="Calibri"/>
      <family val="2"/>
    </font>
    <font>
      <sz val="10"/>
      <color theme="1"/>
      <name val="Arial"/>
      <family val="2"/>
    </font>
    <font>
      <b/>
      <sz val="10"/>
      <color rgb="FF4D4E53"/>
      <name val="Arial"/>
      <family val="2"/>
    </font>
    <font>
      <sz val="12"/>
      <color rgb="FF4D4E53"/>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rgb="FFD9E7F6"/>
        <bgColor indexed="64"/>
      </patternFill>
    </fill>
    <fill>
      <patternFill patternType="solid">
        <fgColor rgb="FFFAAF5B"/>
        <bgColor indexed="64"/>
      </patternFill>
    </fill>
    <fill>
      <patternFill patternType="solid">
        <fgColor theme="0"/>
        <bgColor indexed="64"/>
      </patternFill>
    </fill>
    <fill>
      <patternFill patternType="solid">
        <fgColor rgb="FF92D1CD"/>
        <bgColor indexed="64"/>
      </patternFill>
    </fill>
    <fill>
      <patternFill patternType="solid">
        <fgColor rgb="FFFFCC99"/>
        <bgColor indexed="64"/>
      </patternFill>
    </fill>
    <fill>
      <patternFill patternType="solid">
        <fgColor theme="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ck"/>
    </border>
    <border>
      <left>
        <color indexed="63"/>
      </left>
      <right>
        <color indexed="63"/>
      </right>
      <top>
        <color indexed="63"/>
      </top>
      <bottom style="thick">
        <color rgb="FF4D4E53"/>
      </bottom>
    </border>
    <border>
      <left>
        <color indexed="63"/>
      </left>
      <right>
        <color indexed="63"/>
      </right>
      <top style="thick"/>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7">
    <xf numFmtId="0" fontId="0" fillId="0" borderId="0" xfId="0" applyAlignment="1">
      <alignment/>
    </xf>
    <xf numFmtId="0" fontId="0" fillId="0" borderId="0" xfId="0" applyAlignment="1">
      <alignment wrapText="1"/>
    </xf>
    <xf numFmtId="164" fontId="0" fillId="0" borderId="0" xfId="0" applyNumberFormat="1" applyAlignment="1">
      <alignment/>
    </xf>
    <xf numFmtId="0" fontId="0" fillId="32" borderId="0" xfId="0" applyFill="1" applyAlignment="1">
      <alignment/>
    </xf>
    <xf numFmtId="14" fontId="0" fillId="32" borderId="0" xfId="0" applyNumberFormat="1" applyFill="1" applyAlignment="1">
      <alignment/>
    </xf>
    <xf numFmtId="14" fontId="0" fillId="0" borderId="0" xfId="0" applyNumberFormat="1" applyAlignment="1">
      <alignment/>
    </xf>
    <xf numFmtId="164" fontId="0" fillId="32" borderId="0" xfId="0" applyNumberFormat="1" applyFill="1" applyAlignment="1">
      <alignment/>
    </xf>
    <xf numFmtId="166" fontId="0" fillId="0" borderId="0" xfId="0" applyNumberFormat="1" applyAlignment="1">
      <alignment/>
    </xf>
    <xf numFmtId="166" fontId="0" fillId="32" borderId="0" xfId="0" applyNumberFormat="1" applyFill="1" applyAlignment="1">
      <alignment/>
    </xf>
    <xf numFmtId="0" fontId="0" fillId="0" borderId="0" xfId="0" applyFill="1" applyAlignment="1">
      <alignment/>
    </xf>
    <xf numFmtId="3" fontId="0" fillId="32" borderId="0" xfId="0" applyNumberFormat="1" applyFill="1" applyAlignment="1">
      <alignment/>
    </xf>
    <xf numFmtId="0" fontId="2" fillId="0" borderId="0" xfId="0" applyFont="1" applyAlignment="1">
      <alignment/>
    </xf>
    <xf numFmtId="167" fontId="0" fillId="0" borderId="0" xfId="0" applyNumberFormat="1" applyAlignment="1">
      <alignment/>
    </xf>
    <xf numFmtId="164" fontId="0" fillId="0" borderId="0" xfId="0" applyNumberFormat="1" applyFill="1" applyAlignment="1">
      <alignment/>
    </xf>
    <xf numFmtId="9" fontId="0" fillId="0" borderId="0" xfId="0" applyNumberFormat="1" applyAlignment="1">
      <alignment/>
    </xf>
    <xf numFmtId="0" fontId="5" fillId="0" borderId="0" xfId="0" applyFont="1" applyAlignment="1">
      <alignment/>
    </xf>
    <xf numFmtId="169" fontId="0" fillId="0" borderId="0" xfId="0" applyNumberFormat="1" applyAlignment="1">
      <alignment/>
    </xf>
    <xf numFmtId="14" fontId="0" fillId="4" borderId="0" xfId="0" applyNumberFormat="1" applyFill="1" applyAlignment="1">
      <alignment/>
    </xf>
    <xf numFmtId="164" fontId="0" fillId="4" borderId="0" xfId="0" applyNumberFormat="1" applyFill="1" applyAlignment="1">
      <alignment/>
    </xf>
    <xf numFmtId="166" fontId="0" fillId="0" borderId="0" xfId="0" applyNumberFormat="1" applyFill="1" applyAlignment="1">
      <alignment/>
    </xf>
    <xf numFmtId="166" fontId="0" fillId="33" borderId="0" xfId="0" applyNumberFormat="1" applyFill="1" applyAlignment="1">
      <alignment/>
    </xf>
    <xf numFmtId="166" fontId="0" fillId="34" borderId="0" xfId="0" applyNumberFormat="1" applyFill="1" applyAlignment="1">
      <alignment/>
    </xf>
    <xf numFmtId="2" fontId="0" fillId="0" borderId="0" xfId="0" applyNumberFormat="1" applyAlignment="1">
      <alignment/>
    </xf>
    <xf numFmtId="164" fontId="0" fillId="0" borderId="0" xfId="0" applyNumberFormat="1" applyFill="1" applyBorder="1" applyAlignment="1">
      <alignment/>
    </xf>
    <xf numFmtId="2" fontId="0" fillId="0" borderId="0" xfId="0" applyNumberFormat="1" applyBorder="1" applyAlignment="1">
      <alignment/>
    </xf>
    <xf numFmtId="14" fontId="0" fillId="0" borderId="0" xfId="0" applyNumberFormat="1" applyFill="1" applyAlignment="1">
      <alignment/>
    </xf>
    <xf numFmtId="0" fontId="6" fillId="0" borderId="0" xfId="0" applyFont="1" applyAlignment="1">
      <alignment/>
    </xf>
    <xf numFmtId="14" fontId="0" fillId="10" borderId="10" xfId="0" applyNumberFormat="1" applyFill="1" applyBorder="1" applyAlignment="1" applyProtection="1">
      <alignment/>
      <protection/>
    </xf>
    <xf numFmtId="2" fontId="0" fillId="4" borderId="11" xfId="0" applyNumberFormat="1" applyFill="1" applyBorder="1" applyAlignment="1">
      <alignment horizontal="center"/>
    </xf>
    <xf numFmtId="2" fontId="0" fillId="4" borderId="12" xfId="0" applyNumberFormat="1" applyFill="1" applyBorder="1" applyAlignment="1">
      <alignment horizontal="center"/>
    </xf>
    <xf numFmtId="2" fontId="0" fillId="4" borderId="13" xfId="0" applyNumberFormat="1" applyFill="1" applyBorder="1" applyAlignment="1">
      <alignment horizontal="center"/>
    </xf>
    <xf numFmtId="2" fontId="0" fillId="32" borderId="14" xfId="0" applyNumberFormat="1" applyFill="1" applyBorder="1" applyAlignment="1">
      <alignment horizontal="center"/>
    </xf>
    <xf numFmtId="2" fontId="0" fillId="32" borderId="15" xfId="0" applyNumberFormat="1" applyFill="1" applyBorder="1" applyAlignment="1">
      <alignment horizontal="center"/>
    </xf>
    <xf numFmtId="2" fontId="0" fillId="32" borderId="11" xfId="0" applyNumberFormat="1" applyFill="1" applyBorder="1" applyAlignment="1">
      <alignment horizontal="center"/>
    </xf>
    <xf numFmtId="2" fontId="0" fillId="32" borderId="12" xfId="0" applyNumberFormat="1" applyFill="1" applyBorder="1" applyAlignment="1">
      <alignment horizontal="center"/>
    </xf>
    <xf numFmtId="2" fontId="0" fillId="33" borderId="16" xfId="0" applyNumberFormat="1" applyFill="1" applyBorder="1" applyAlignment="1">
      <alignment/>
    </xf>
    <xf numFmtId="2" fontId="0" fillId="33" borderId="14" xfId="0" applyNumberFormat="1" applyFill="1" applyBorder="1" applyAlignment="1">
      <alignment/>
    </xf>
    <xf numFmtId="14" fontId="0" fillId="4" borderId="10" xfId="0" applyNumberFormat="1" applyFill="1" applyBorder="1" applyAlignment="1" applyProtection="1">
      <alignment/>
      <protection locked="0"/>
    </xf>
    <xf numFmtId="14" fontId="0" fillId="0" borderId="0" xfId="0" applyNumberFormat="1" applyFill="1" applyBorder="1" applyAlignment="1" applyProtection="1">
      <alignment/>
      <protection locked="0"/>
    </xf>
    <xf numFmtId="166" fontId="0" fillId="0" borderId="0" xfId="0" applyNumberFormat="1" applyFill="1" applyBorder="1" applyAlignment="1" applyProtection="1">
      <alignment/>
      <protection locked="0"/>
    </xf>
    <xf numFmtId="2" fontId="0" fillId="35" borderId="10" xfId="0" applyNumberFormat="1" applyFill="1" applyBorder="1" applyAlignment="1" applyProtection="1">
      <alignment/>
      <protection locked="0"/>
    </xf>
    <xf numFmtId="2" fontId="0" fillId="35" borderId="10" xfId="0" applyNumberFormat="1" applyFill="1" applyBorder="1" applyAlignment="1" applyProtection="1">
      <alignment/>
      <protection/>
    </xf>
    <xf numFmtId="0" fontId="2" fillId="3" borderId="17" xfId="0" applyFont="1" applyFill="1" applyBorder="1" applyAlignment="1">
      <alignment/>
    </xf>
    <xf numFmtId="0" fontId="2" fillId="3" borderId="18" xfId="0" applyFont="1" applyFill="1" applyBorder="1" applyAlignment="1">
      <alignment/>
    </xf>
    <xf numFmtId="0" fontId="2" fillId="3" borderId="0" xfId="0" applyFont="1" applyFill="1" applyBorder="1" applyAlignment="1">
      <alignment/>
    </xf>
    <xf numFmtId="0" fontId="2" fillId="3" borderId="19" xfId="0" applyFont="1" applyFill="1" applyBorder="1" applyAlignment="1">
      <alignment/>
    </xf>
    <xf numFmtId="0" fontId="2" fillId="3" borderId="16" xfId="0" applyFont="1" applyFill="1" applyBorder="1" applyAlignment="1">
      <alignment/>
    </xf>
    <xf numFmtId="0" fontId="2" fillId="3" borderId="14" xfId="0" applyFont="1" applyFill="1" applyBorder="1" applyAlignment="1">
      <alignment/>
    </xf>
    <xf numFmtId="0" fontId="2" fillId="3" borderId="15" xfId="0" applyFont="1" applyFill="1" applyBorder="1" applyAlignment="1">
      <alignment/>
    </xf>
    <xf numFmtId="0" fontId="2" fillId="3" borderId="20" xfId="0" applyFont="1" applyFill="1" applyBorder="1" applyAlignment="1">
      <alignment/>
    </xf>
    <xf numFmtId="0" fontId="2" fillId="3" borderId="21" xfId="0" applyFont="1" applyFill="1" applyBorder="1" applyAlignment="1">
      <alignment/>
    </xf>
    <xf numFmtId="2" fontId="0" fillId="33" borderId="17" xfId="0" applyNumberFormat="1" applyFill="1" applyBorder="1" applyAlignment="1">
      <alignment/>
    </xf>
    <xf numFmtId="2" fontId="0" fillId="34" borderId="11" xfId="0" applyNumberFormat="1" applyFont="1" applyFill="1" applyBorder="1" applyAlignment="1">
      <alignment horizontal="center"/>
    </xf>
    <xf numFmtId="2" fontId="0" fillId="34" borderId="12" xfId="0" applyNumberFormat="1" applyFont="1" applyFill="1" applyBorder="1" applyAlignment="1">
      <alignment horizontal="center"/>
    </xf>
    <xf numFmtId="14" fontId="0" fillId="34" borderId="22" xfId="0" applyNumberFormat="1" applyFill="1" applyBorder="1" applyAlignment="1" applyProtection="1">
      <alignment horizontal="left"/>
      <protection locked="0"/>
    </xf>
    <xf numFmtId="0" fontId="0" fillId="0" borderId="0" xfId="0" applyAlignment="1" applyProtection="1">
      <alignment horizontal="left"/>
      <protection/>
    </xf>
    <xf numFmtId="166" fontId="0" fillId="35" borderId="22" xfId="0" applyNumberFormat="1" applyFill="1" applyBorder="1" applyAlignment="1" applyProtection="1">
      <alignment/>
      <protection/>
    </xf>
    <xf numFmtId="0" fontId="2" fillId="35" borderId="0" xfId="0" applyFont="1" applyFill="1" applyAlignment="1" applyProtection="1">
      <alignment/>
      <protection/>
    </xf>
    <xf numFmtId="0" fontId="0" fillId="35" borderId="0" xfId="0" applyFill="1" applyAlignment="1">
      <alignment/>
    </xf>
    <xf numFmtId="2" fontId="0" fillId="32" borderId="13" xfId="0" applyNumberFormat="1" applyFill="1" applyBorder="1" applyAlignment="1">
      <alignment horizontal="center"/>
    </xf>
    <xf numFmtId="2" fontId="0" fillId="34" borderId="13" xfId="0" applyNumberFormat="1" applyFont="1" applyFill="1" applyBorder="1" applyAlignment="1">
      <alignment horizontal="center"/>
    </xf>
    <xf numFmtId="14" fontId="61" fillId="36" borderId="0" xfId="0" applyNumberFormat="1" applyFont="1" applyFill="1" applyBorder="1" applyAlignment="1" applyProtection="1">
      <alignment horizontal="center" vertical="center"/>
      <protection locked="0"/>
    </xf>
    <xf numFmtId="0" fontId="61" fillId="36" borderId="0" xfId="0" applyFont="1" applyFill="1" applyBorder="1" applyAlignment="1" applyProtection="1">
      <alignment horizontal="center" vertical="center"/>
      <protection locked="0"/>
    </xf>
    <xf numFmtId="169" fontId="61" fillId="37" borderId="0" xfId="0" applyNumberFormat="1" applyFont="1" applyFill="1" applyBorder="1" applyAlignment="1" applyProtection="1">
      <alignment horizontal="center" vertical="center"/>
      <protection locked="0"/>
    </xf>
    <xf numFmtId="0" fontId="0" fillId="0" borderId="0" xfId="0" applyAlignment="1" applyProtection="1">
      <alignment/>
      <protection/>
    </xf>
    <xf numFmtId="0" fontId="61" fillId="0" borderId="0" xfId="0" applyFont="1" applyAlignment="1" applyProtection="1">
      <alignment/>
      <protection/>
    </xf>
    <xf numFmtId="0" fontId="61" fillId="0" borderId="0" xfId="0" applyFont="1" applyAlignment="1" applyProtection="1">
      <alignment horizontal="right"/>
      <protection/>
    </xf>
    <xf numFmtId="0" fontId="62" fillId="38" borderId="0" xfId="0" applyFont="1" applyFill="1" applyAlignment="1" applyProtection="1">
      <alignment/>
      <protection/>
    </xf>
    <xf numFmtId="0" fontId="61" fillId="38" borderId="0" xfId="0" applyFont="1" applyFill="1" applyAlignment="1" applyProtection="1">
      <alignment/>
      <protection/>
    </xf>
    <xf numFmtId="0" fontId="61" fillId="38" borderId="0" xfId="0" applyFont="1" applyFill="1" applyAlignment="1" applyProtection="1">
      <alignment horizontal="center" vertical="center"/>
      <protection/>
    </xf>
    <xf numFmtId="0" fontId="61" fillId="38" borderId="0" xfId="0" applyFont="1" applyFill="1" applyAlignment="1" applyProtection="1">
      <alignment horizontal="right"/>
      <protection/>
    </xf>
    <xf numFmtId="0" fontId="61" fillId="0" borderId="23" xfId="0" applyFont="1" applyBorder="1" applyAlignment="1" applyProtection="1">
      <alignment/>
      <protection/>
    </xf>
    <xf numFmtId="0" fontId="61" fillId="0" borderId="23" xfId="0" applyFont="1" applyBorder="1" applyAlignment="1" applyProtection="1">
      <alignment horizontal="center" vertical="center"/>
      <protection/>
    </xf>
    <xf numFmtId="0" fontId="61" fillId="0" borderId="0" xfId="0" applyFont="1" applyAlignment="1" applyProtection="1">
      <alignment horizontal="center" vertical="center"/>
      <protection/>
    </xf>
    <xf numFmtId="0" fontId="63" fillId="0" borderId="0" xfId="0" applyFont="1" applyAlignment="1" applyProtection="1">
      <alignment/>
      <protection/>
    </xf>
    <xf numFmtId="0" fontId="64" fillId="0" borderId="0" xfId="0" applyFont="1" applyAlignment="1" applyProtection="1">
      <alignment/>
      <protection/>
    </xf>
    <xf numFmtId="0" fontId="65" fillId="0" borderId="0" xfId="0" applyFont="1" applyAlignment="1" applyProtection="1">
      <alignment/>
      <protection/>
    </xf>
    <xf numFmtId="169" fontId="61" fillId="0" borderId="0" xfId="0" applyNumberFormat="1" applyFont="1" applyAlignment="1" applyProtection="1">
      <alignment horizontal="center" vertical="center"/>
      <protection/>
    </xf>
    <xf numFmtId="0" fontId="61" fillId="0" borderId="24" xfId="0" applyFont="1" applyBorder="1" applyAlignment="1" applyProtection="1">
      <alignment/>
      <protection/>
    </xf>
    <xf numFmtId="0" fontId="64" fillId="0" borderId="24" xfId="0" applyFont="1" applyBorder="1" applyAlignment="1" applyProtection="1">
      <alignment/>
      <protection/>
    </xf>
    <xf numFmtId="0" fontId="9" fillId="0" borderId="0" xfId="0" applyFont="1" applyAlignment="1" applyProtection="1">
      <alignment/>
      <protection/>
    </xf>
    <xf numFmtId="0" fontId="66" fillId="0" borderId="0" xfId="0" applyFont="1" applyAlignment="1" applyProtection="1">
      <alignment horizontal="center" wrapText="1"/>
      <protection/>
    </xf>
    <xf numFmtId="0" fontId="67" fillId="0" borderId="0" xfId="0" applyFont="1" applyAlignment="1" applyProtection="1">
      <alignment horizontal="center" wrapText="1"/>
      <protection/>
    </xf>
    <xf numFmtId="0" fontId="0" fillId="0" borderId="24" xfId="0" applyBorder="1" applyAlignment="1" applyProtection="1">
      <alignment/>
      <protection/>
    </xf>
    <xf numFmtId="0" fontId="68" fillId="0" borderId="0" xfId="0" applyFont="1" applyAlignment="1" applyProtection="1">
      <alignment/>
      <protection/>
    </xf>
    <xf numFmtId="0" fontId="63" fillId="0" borderId="0" xfId="0" applyFont="1" applyAlignment="1" applyProtection="1">
      <alignment horizontal="right"/>
      <protection/>
    </xf>
    <xf numFmtId="0" fontId="63" fillId="0" borderId="24" xfId="0" applyFont="1" applyBorder="1" applyAlignment="1" applyProtection="1">
      <alignment horizontal="right"/>
      <protection/>
    </xf>
    <xf numFmtId="0" fontId="68" fillId="0" borderId="0" xfId="0" applyFont="1" applyAlignment="1" applyProtection="1">
      <alignment horizontal="left"/>
      <protection/>
    </xf>
    <xf numFmtId="166" fontId="63" fillId="39" borderId="0" xfId="0" applyNumberFormat="1" applyFont="1" applyFill="1" applyBorder="1" applyAlignment="1" applyProtection="1">
      <alignment horizontal="center" vertical="center"/>
      <protection/>
    </xf>
    <xf numFmtId="0" fontId="61" fillId="0" borderId="0" xfId="0" applyFont="1" applyAlignment="1" applyProtection="1">
      <alignment horizontal="left"/>
      <protection/>
    </xf>
    <xf numFmtId="0" fontId="61" fillId="0" borderId="24" xfId="0" applyFont="1" applyBorder="1" applyAlignment="1" applyProtection="1">
      <alignment horizontal="center" vertical="center"/>
      <protection/>
    </xf>
    <xf numFmtId="0" fontId="69" fillId="0" borderId="0" xfId="0" applyFont="1" applyAlignment="1" applyProtection="1">
      <alignment/>
      <protection/>
    </xf>
    <xf numFmtId="0" fontId="63" fillId="0" borderId="25" xfId="0" applyFont="1" applyBorder="1" applyAlignment="1" applyProtection="1">
      <alignment/>
      <protection/>
    </xf>
    <xf numFmtId="0" fontId="61" fillId="0" borderId="25" xfId="0" applyFont="1" applyBorder="1" applyAlignment="1" applyProtection="1">
      <alignment/>
      <protection/>
    </xf>
    <xf numFmtId="0" fontId="69" fillId="0" borderId="25" xfId="0" applyFont="1" applyBorder="1" applyAlignment="1" applyProtection="1">
      <alignment/>
      <protection/>
    </xf>
    <xf numFmtId="0" fontId="63" fillId="0" borderId="0" xfId="0" applyFont="1" applyAlignment="1" applyProtection="1">
      <alignment horizontal="right" vertical="top"/>
      <protection/>
    </xf>
    <xf numFmtId="0" fontId="63" fillId="0" borderId="0" xfId="0" applyFont="1" applyBorder="1" applyAlignment="1" applyProtection="1">
      <alignment horizontal="right" vertical="top"/>
      <protection/>
    </xf>
    <xf numFmtId="0" fontId="61" fillId="0" borderId="0" xfId="0" applyFont="1" applyAlignment="1" applyProtection="1">
      <alignment horizontal="left" vertical="top" wrapText="1"/>
      <protection/>
    </xf>
    <xf numFmtId="170" fontId="70" fillId="0" borderId="0" xfId="0" applyNumberFormat="1" applyFont="1" applyAlignment="1" applyProtection="1">
      <alignment horizontal="left"/>
      <protection/>
    </xf>
    <xf numFmtId="0" fontId="70" fillId="0" borderId="0" xfId="0" applyFont="1" applyAlignment="1" applyProtection="1">
      <alignment/>
      <protection/>
    </xf>
    <xf numFmtId="14" fontId="61" fillId="38" borderId="0" xfId="0" applyNumberFormat="1" applyFont="1" applyFill="1" applyBorder="1" applyAlignment="1" applyProtection="1">
      <alignment/>
      <protection/>
    </xf>
    <xf numFmtId="0" fontId="61" fillId="38" borderId="0" xfId="0" applyFont="1" applyFill="1" applyBorder="1" applyAlignment="1" applyProtection="1">
      <alignment/>
      <protection/>
    </xf>
    <xf numFmtId="169" fontId="61" fillId="38" borderId="24" xfId="0" applyNumberFormat="1" applyFont="1" applyFill="1" applyBorder="1" applyAlignment="1" applyProtection="1">
      <alignment horizontal="center" vertical="center"/>
      <protection/>
    </xf>
    <xf numFmtId="169" fontId="61" fillId="38" borderId="0" xfId="0" applyNumberFormat="1" applyFont="1" applyFill="1" applyBorder="1" applyAlignment="1" applyProtection="1">
      <alignment horizontal="center" vertical="center"/>
      <protection/>
    </xf>
    <xf numFmtId="0" fontId="71" fillId="0" borderId="0" xfId="0" applyFont="1" applyAlignment="1">
      <alignment/>
    </xf>
    <xf numFmtId="0" fontId="72" fillId="0" borderId="0" xfId="0" applyFont="1" applyAlignment="1">
      <alignment/>
    </xf>
    <xf numFmtId="0" fontId="73" fillId="0" borderId="0" xfId="0" applyFont="1" applyAlignment="1">
      <alignment/>
    </xf>
    <xf numFmtId="2" fontId="73" fillId="0" borderId="0" xfId="0" applyNumberFormat="1" applyFont="1" applyAlignment="1">
      <alignment/>
    </xf>
    <xf numFmtId="166" fontId="74" fillId="0" borderId="0" xfId="0" applyNumberFormat="1" applyFont="1" applyAlignment="1">
      <alignment/>
    </xf>
    <xf numFmtId="166" fontId="74" fillId="40" borderId="0" xfId="0" applyNumberFormat="1" applyFont="1" applyFill="1" applyAlignment="1">
      <alignment/>
    </xf>
    <xf numFmtId="0" fontId="75" fillId="0" borderId="0" xfId="0" applyFont="1" applyAlignment="1">
      <alignment horizontal="center" vertical="center"/>
    </xf>
    <xf numFmtId="0" fontId="75" fillId="0" borderId="24" xfId="0" applyFont="1" applyBorder="1" applyAlignment="1">
      <alignment horizontal="center" vertical="center"/>
    </xf>
    <xf numFmtId="0" fontId="76" fillId="0" borderId="0" xfId="0" applyFont="1" applyAlignment="1">
      <alignment horizontal="right"/>
    </xf>
    <xf numFmtId="0" fontId="2" fillId="0" borderId="0" xfId="0" applyFont="1" applyAlignment="1">
      <alignment horizontal="left"/>
    </xf>
    <xf numFmtId="0" fontId="0" fillId="0" borderId="0" xfId="0" applyAlignment="1">
      <alignment horizontal="left"/>
    </xf>
    <xf numFmtId="178" fontId="0" fillId="0" borderId="0" xfId="0" applyNumberFormat="1" applyAlignment="1">
      <alignment horizontal="left"/>
    </xf>
    <xf numFmtId="0" fontId="0" fillId="0" borderId="0" xfId="0" applyFont="1" applyAlignment="1">
      <alignment/>
    </xf>
    <xf numFmtId="0" fontId="0" fillId="0" borderId="0" xfId="0" applyFont="1" applyAlignment="1">
      <alignment horizontal="left"/>
    </xf>
    <xf numFmtId="0" fontId="76" fillId="0" borderId="0" xfId="0" applyFont="1" applyAlignment="1">
      <alignment/>
    </xf>
    <xf numFmtId="0" fontId="0" fillId="41" borderId="0" xfId="0" applyFill="1" applyAlignment="1">
      <alignment/>
    </xf>
    <xf numFmtId="0" fontId="64" fillId="0" borderId="0" xfId="0" applyFont="1" applyBorder="1" applyAlignment="1" applyProtection="1">
      <alignment/>
      <protection/>
    </xf>
    <xf numFmtId="0" fontId="61" fillId="0" borderId="0" xfId="0" applyFont="1" applyAlignment="1">
      <alignment vertical="top" wrapText="1"/>
    </xf>
    <xf numFmtId="0" fontId="0" fillId="0" borderId="0" xfId="0" applyAlignment="1">
      <alignment vertical="top" wrapText="1"/>
    </xf>
    <xf numFmtId="0" fontId="66" fillId="0" borderId="0" xfId="0" applyFont="1" applyAlignment="1" applyProtection="1">
      <alignment horizontal="center" wrapText="1"/>
      <protection/>
    </xf>
    <xf numFmtId="0" fontId="67" fillId="0" borderId="0" xfId="0" applyFont="1" applyAlignment="1" applyProtection="1">
      <alignment horizontal="center" wrapText="1"/>
      <protection/>
    </xf>
    <xf numFmtId="0" fontId="61" fillId="0" borderId="0" xfId="0" applyFont="1" applyAlignment="1" applyProtection="1">
      <alignment vertical="top" wrapText="1"/>
      <protection/>
    </xf>
    <xf numFmtId="0" fontId="0" fillId="0" borderId="0" xfId="0" applyAlignment="1" applyProtection="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409575</xdr:rowOff>
    </xdr:from>
    <xdr:to>
      <xdr:col>2</xdr:col>
      <xdr:colOff>695325</xdr:colOff>
      <xdr:row>1</xdr:row>
      <xdr:rowOff>47625</xdr:rowOff>
    </xdr:to>
    <xdr:pic>
      <xdr:nvPicPr>
        <xdr:cNvPr id="1" name="Picture 2"/>
        <xdr:cNvPicPr preferRelativeResize="1">
          <a:picLocks noChangeAspect="1"/>
        </xdr:cNvPicPr>
      </xdr:nvPicPr>
      <xdr:blipFill>
        <a:blip r:embed="rId1"/>
        <a:stretch>
          <a:fillRect/>
        </a:stretch>
      </xdr:blipFill>
      <xdr:spPr>
        <a:xfrm>
          <a:off x="438150" y="409575"/>
          <a:ext cx="16859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showGridLines="0" tabSelected="1" zoomScale="90" zoomScaleNormal="90" zoomScalePageLayoutView="0" workbookViewId="0" topLeftCell="A1">
      <selection activeCell="G7" sqref="G7"/>
    </sheetView>
  </sheetViews>
  <sheetFormatPr defaultColWidth="9.140625" defaultRowHeight="12.75"/>
  <cols>
    <col min="1" max="1" width="5.57421875" style="64" customWidth="1"/>
    <col min="2" max="2" width="15.8515625" style="64" customWidth="1"/>
    <col min="3" max="3" width="20.421875" style="64" customWidth="1"/>
    <col min="4" max="4" width="14.57421875" style="64" customWidth="1"/>
    <col min="5" max="5" width="12.8515625" style="64" customWidth="1"/>
    <col min="6" max="6" width="1.28515625" style="64" hidden="1" customWidth="1"/>
    <col min="7" max="7" width="28.57421875" style="64" customWidth="1"/>
    <col min="8" max="8" width="0.71875" style="64" customWidth="1"/>
    <col min="9" max="10" width="12.00390625" style="64" customWidth="1"/>
    <col min="11" max="11" width="8.7109375" style="64" customWidth="1"/>
    <col min="12" max="12" width="9.140625" style="64" customWidth="1"/>
    <col min="13" max="13" width="9.140625" style="64" hidden="1" customWidth="1"/>
    <col min="14" max="14" width="9.28125" style="64" customWidth="1"/>
    <col min="15" max="16384" width="9.140625" style="64" customWidth="1"/>
  </cols>
  <sheetData>
    <row r="1" spans="5:14" ht="85.5" customHeight="1">
      <c r="E1" s="123" t="s">
        <v>87</v>
      </c>
      <c r="F1" s="124"/>
      <c r="G1" s="124"/>
      <c r="H1" s="124"/>
      <c r="I1" s="124"/>
      <c r="L1" s="110"/>
      <c r="M1" s="110"/>
      <c r="N1" s="110"/>
    </row>
    <row r="2" spans="1:14" ht="13.5" customHeight="1">
      <c r="A2" s="80"/>
      <c r="E2" s="81"/>
      <c r="F2" s="82"/>
      <c r="G2" s="82"/>
      <c r="H2" s="82"/>
      <c r="I2" s="82"/>
      <c r="L2" s="110"/>
      <c r="M2" s="110"/>
      <c r="N2" s="110"/>
    </row>
    <row r="3" spans="2:14" ht="33.75" customHeight="1">
      <c r="B3" s="118" t="s">
        <v>113</v>
      </c>
      <c r="L3" s="110"/>
      <c r="M3" s="110"/>
      <c r="N3" s="112" t="s">
        <v>101</v>
      </c>
    </row>
    <row r="4" spans="2:14" ht="12.75" customHeight="1" thickBot="1">
      <c r="B4" s="83"/>
      <c r="C4" s="83"/>
      <c r="D4" s="83"/>
      <c r="E4" s="83"/>
      <c r="F4" s="83"/>
      <c r="G4" s="83"/>
      <c r="H4" s="83"/>
      <c r="I4" s="83"/>
      <c r="J4" s="83"/>
      <c r="K4" s="83"/>
      <c r="L4" s="111"/>
      <c r="M4" s="111"/>
      <c r="N4" s="111"/>
    </row>
    <row r="5" ht="28.5" customHeight="1" thickTop="1">
      <c r="B5" s="84" t="s">
        <v>24</v>
      </c>
    </row>
    <row r="6" spans="1:15" ht="6" customHeight="1">
      <c r="A6" s="65"/>
      <c r="B6" s="65"/>
      <c r="C6" s="65"/>
      <c r="D6" s="65"/>
      <c r="E6" s="65"/>
      <c r="F6" s="65"/>
      <c r="G6" s="65"/>
      <c r="H6" s="65"/>
      <c r="I6" s="65"/>
      <c r="J6" s="65"/>
      <c r="K6" s="65"/>
      <c r="L6" s="65"/>
      <c r="M6" s="65" t="s">
        <v>2</v>
      </c>
      <c r="N6" s="65"/>
      <c r="O6" s="65"/>
    </row>
    <row r="7" spans="1:15" ht="18" customHeight="1">
      <c r="A7" s="65"/>
      <c r="B7" s="65"/>
      <c r="C7" s="65"/>
      <c r="D7" s="65"/>
      <c r="E7" s="66" t="s">
        <v>70</v>
      </c>
      <c r="F7" s="65"/>
      <c r="G7" s="61"/>
      <c r="H7" s="65"/>
      <c r="I7" s="120">
        <f>IF(AND(G7="",G13&lt;&gt;""),"You must enter date of birth","")</f>
      </c>
      <c r="J7" s="65"/>
      <c r="K7" s="65"/>
      <c r="L7" s="65"/>
      <c r="M7" s="65" t="s">
        <v>26</v>
      </c>
      <c r="N7" s="65"/>
      <c r="O7" s="65"/>
    </row>
    <row r="8" spans="1:15" ht="9" customHeight="1" hidden="1">
      <c r="A8" s="65"/>
      <c r="B8" s="65"/>
      <c r="C8" s="65"/>
      <c r="D8" s="100"/>
      <c r="E8" s="67"/>
      <c r="F8" s="68"/>
      <c r="G8" s="69"/>
      <c r="H8" s="68"/>
      <c r="I8" s="101"/>
      <c r="J8" s="65"/>
      <c r="K8" s="65"/>
      <c r="L8" s="65"/>
      <c r="M8" s="65"/>
      <c r="N8" s="65"/>
      <c r="O8" s="65"/>
    </row>
    <row r="9" spans="1:15" ht="18" customHeight="1" hidden="1">
      <c r="A9" s="65"/>
      <c r="B9" s="65"/>
      <c r="C9" s="65"/>
      <c r="D9" s="100"/>
      <c r="E9" s="70" t="s">
        <v>67</v>
      </c>
      <c r="F9" s="68"/>
      <c r="G9" s="62" t="s">
        <v>2</v>
      </c>
      <c r="H9" s="68"/>
      <c r="I9" s="101"/>
      <c r="J9" s="65"/>
      <c r="K9" s="65"/>
      <c r="L9" s="65"/>
      <c r="M9" s="65"/>
      <c r="N9" s="65"/>
      <c r="O9" s="65"/>
    </row>
    <row r="10" spans="1:15" ht="26.25" customHeight="1" thickBot="1">
      <c r="A10" s="65"/>
      <c r="B10" s="71"/>
      <c r="C10" s="71"/>
      <c r="D10" s="71"/>
      <c r="E10" s="71"/>
      <c r="F10" s="71"/>
      <c r="G10" s="72"/>
      <c r="H10" s="71"/>
      <c r="I10" s="71"/>
      <c r="J10" s="71"/>
      <c r="K10" s="71"/>
      <c r="L10" s="71"/>
      <c r="M10" s="71" t="str">
        <f>"You cannot buy more than "&amp;TEXT('calcs - nuvos'!G3,"£0,000")&amp;" added pension"</f>
        <v>You cannot buy more than £9,000 added pension</v>
      </c>
      <c r="N10" s="71"/>
      <c r="O10" s="65"/>
    </row>
    <row r="11" spans="1:15" ht="28.5" customHeight="1" thickTop="1">
      <c r="A11" s="65"/>
      <c r="B11" s="84" t="s">
        <v>74</v>
      </c>
      <c r="C11" s="65"/>
      <c r="D11" s="65"/>
      <c r="E11" s="65"/>
      <c r="F11" s="65"/>
      <c r="G11" s="73"/>
      <c r="H11" s="65"/>
      <c r="I11" s="65"/>
      <c r="J11" s="65"/>
      <c r="K11" s="65"/>
      <c r="L11" s="65"/>
      <c r="M11" s="65"/>
      <c r="N11" s="65"/>
      <c r="O11" s="65"/>
    </row>
    <row r="12" spans="1:15" ht="6.75" customHeight="1">
      <c r="A12" s="65"/>
      <c r="B12" s="65"/>
      <c r="C12" s="65"/>
      <c r="D12" s="65"/>
      <c r="E12" s="65"/>
      <c r="F12" s="65"/>
      <c r="G12" s="73"/>
      <c r="H12" s="65"/>
      <c r="I12" s="65"/>
      <c r="J12" s="65"/>
      <c r="K12" s="65"/>
      <c r="L12" s="65"/>
      <c r="M12" s="65"/>
      <c r="N12" s="65"/>
      <c r="O12" s="65"/>
    </row>
    <row r="13" spans="1:15" ht="18" customHeight="1">
      <c r="A13" s="65"/>
      <c r="C13" s="65"/>
      <c r="D13" s="65"/>
      <c r="E13" s="66" t="s">
        <v>68</v>
      </c>
      <c r="F13" s="65"/>
      <c r="G13" s="62"/>
      <c r="H13" s="65"/>
      <c r="I13" s="65"/>
      <c r="J13" s="65">
        <f>IF(G13="monthly contributions","For how many years? ","")</f>
      </c>
      <c r="L13" s="62">
        <v>1</v>
      </c>
      <c r="M13" s="65" t="s">
        <v>16</v>
      </c>
      <c r="N13" s="65"/>
      <c r="O13" s="65"/>
    </row>
    <row r="14" spans="1:15" ht="9" customHeight="1">
      <c r="A14" s="65"/>
      <c r="B14" s="74"/>
      <c r="C14" s="65"/>
      <c r="D14" s="65"/>
      <c r="E14" s="65"/>
      <c r="F14" s="65"/>
      <c r="G14" s="73"/>
      <c r="H14" s="65"/>
      <c r="I14" s="65"/>
      <c r="J14" s="65"/>
      <c r="K14" s="65"/>
      <c r="L14" s="65"/>
      <c r="M14" s="65" t="s">
        <v>43</v>
      </c>
      <c r="N14" s="65"/>
      <c r="O14" s="65"/>
    </row>
    <row r="15" spans="1:15" ht="18" customHeight="1">
      <c r="A15" s="65"/>
      <c r="B15" s="65"/>
      <c r="C15" s="74"/>
      <c r="D15" s="65"/>
      <c r="E15" s="66" t="s">
        <v>69</v>
      </c>
      <c r="F15" s="65"/>
      <c r="G15" s="62"/>
      <c r="H15" s="65"/>
      <c r="I15" s="75">
        <f>('calcs - nuvos'!A30)</f>
      </c>
      <c r="J15" s="65"/>
      <c r="K15" s="65"/>
      <c r="L15" s="65"/>
      <c r="M15" s="65" t="s">
        <v>44</v>
      </c>
      <c r="N15" s="65"/>
      <c r="O15" s="65"/>
    </row>
    <row r="16" spans="1:15" ht="15.75" customHeight="1">
      <c r="A16" s="65"/>
      <c r="B16" s="65"/>
      <c r="C16" s="65"/>
      <c r="D16" s="65"/>
      <c r="E16" s="65"/>
      <c r="F16" s="65"/>
      <c r="G16" s="73"/>
      <c r="H16" s="65"/>
      <c r="I16" s="65"/>
      <c r="J16" s="65"/>
      <c r="K16" s="65"/>
      <c r="L16" s="65"/>
      <c r="M16" s="65" t="s">
        <v>45</v>
      </c>
      <c r="N16" s="65"/>
      <c r="O16" s="65"/>
    </row>
    <row r="17" spans="1:15" ht="18" customHeight="1">
      <c r="A17" s="65"/>
      <c r="B17" s="85" t="s">
        <v>47</v>
      </c>
      <c r="C17" s="65"/>
      <c r="D17" s="65"/>
      <c r="E17" s="66" t="s">
        <v>71</v>
      </c>
      <c r="F17" s="65"/>
      <c r="G17" s="63"/>
      <c r="H17" s="65"/>
      <c r="I17" s="65" t="str">
        <f>IF(G13="lump sum"," ","per month")</f>
        <v>per month</v>
      </c>
      <c r="J17" s="76">
        <f>IF(AND(G17&lt;&gt;"",G19&lt;&gt;""),"please enter figures into only one of the orange boxes, leave the other blank","")</f>
      </c>
      <c r="K17" s="65"/>
      <c r="L17" s="65"/>
      <c r="M17" s="65"/>
      <c r="N17" s="65"/>
      <c r="O17" s="65"/>
    </row>
    <row r="18" spans="1:15" ht="9" customHeight="1">
      <c r="A18" s="65"/>
      <c r="B18" s="66"/>
      <c r="C18" s="65"/>
      <c r="D18" s="65"/>
      <c r="E18" s="65"/>
      <c r="F18" s="65"/>
      <c r="G18" s="77"/>
      <c r="H18" s="65"/>
      <c r="I18" s="65"/>
      <c r="J18" s="65"/>
      <c r="K18" s="65"/>
      <c r="L18" s="65"/>
      <c r="M18" s="65"/>
      <c r="N18" s="65"/>
      <c r="O18" s="65"/>
    </row>
    <row r="19" spans="1:15" ht="18" customHeight="1">
      <c r="A19" s="65"/>
      <c r="B19" s="85" t="s">
        <v>48</v>
      </c>
      <c r="C19" s="65"/>
      <c r="D19" s="65"/>
      <c r="E19" s="66" t="s">
        <v>72</v>
      </c>
      <c r="F19" s="65"/>
      <c r="G19" s="63"/>
      <c r="H19" s="65"/>
      <c r="I19" s="65" t="s">
        <v>46</v>
      </c>
      <c r="J19" s="75" t="str">
        <f>IF(G19&gt;'calcs - nuvos'!G3,M10," ")</f>
        <v> </v>
      </c>
      <c r="K19" s="65"/>
      <c r="L19" s="65"/>
      <c r="M19" s="65"/>
      <c r="N19" s="65"/>
      <c r="O19" s="65"/>
    </row>
    <row r="20" spans="1:15" ht="27" customHeight="1" thickBot="1">
      <c r="A20" s="65"/>
      <c r="B20" s="86"/>
      <c r="C20" s="78"/>
      <c r="D20" s="78"/>
      <c r="E20" s="78"/>
      <c r="F20" s="78"/>
      <c r="G20" s="102"/>
      <c r="H20" s="78"/>
      <c r="I20" s="78"/>
      <c r="J20" s="79"/>
      <c r="K20" s="78"/>
      <c r="L20" s="78"/>
      <c r="M20" s="78"/>
      <c r="N20" s="78"/>
      <c r="O20" s="65"/>
    </row>
    <row r="21" spans="1:15" ht="28.5" customHeight="1" thickTop="1">
      <c r="A21" s="65"/>
      <c r="B21" s="87" t="s">
        <v>73</v>
      </c>
      <c r="C21" s="65"/>
      <c r="D21" s="65"/>
      <c r="E21" s="65"/>
      <c r="F21" s="65"/>
      <c r="G21" s="103"/>
      <c r="H21" s="65"/>
      <c r="I21" s="65"/>
      <c r="J21" s="75"/>
      <c r="K21" s="65"/>
      <c r="L21" s="65"/>
      <c r="M21" s="65"/>
      <c r="N21" s="65"/>
      <c r="O21" s="65"/>
    </row>
    <row r="22" spans="1:15" ht="10.5" customHeight="1">
      <c r="A22" s="65"/>
      <c r="B22" s="65"/>
      <c r="C22" s="65"/>
      <c r="D22" s="65"/>
      <c r="E22" s="65"/>
      <c r="F22" s="65"/>
      <c r="G22" s="77"/>
      <c r="H22" s="65"/>
      <c r="I22" s="65"/>
      <c r="J22" s="65"/>
      <c r="K22" s="65"/>
      <c r="L22" s="65"/>
      <c r="M22" s="65">
        <f>IF(G17&lt;&gt;"",1,2)</f>
        <v>2</v>
      </c>
      <c r="N22" s="65"/>
      <c r="O22" s="65"/>
    </row>
    <row r="23" spans="1:15" ht="18" customHeight="1">
      <c r="A23" s="65"/>
      <c r="B23" s="65"/>
      <c r="C23" s="74"/>
      <c r="D23" s="65"/>
      <c r="E23" s="85" t="str">
        <f>IF(M22=1,"Your savings will buy an annual pension of: ","This pension will cost you: ")</f>
        <v>This pension will cost you: </v>
      </c>
      <c r="F23" s="65"/>
      <c r="G23" s="88">
        <f>IF(G7&lt;&gt;"",'calcs - nuvos'!B28,"")</f>
      </c>
      <c r="H23" s="65"/>
      <c r="I23" s="89" t="str">
        <f>IF(AND('calcs - nuvos'!D2="periodicals",'calcs - nuvos'!B4&lt;&gt;"savings"),"per month",IF('calcs - nuvos'!B4="savings"," ",""))</f>
        <v>per month</v>
      </c>
      <c r="J23" s="75">
        <f>IF('calcs - nuvos'!B4="savings",'calcs - nuvos'!A29,"")</f>
      </c>
      <c r="K23" s="65"/>
      <c r="L23" s="65"/>
      <c r="M23" s="65"/>
      <c r="N23" s="65"/>
      <c r="O23" s="65"/>
    </row>
    <row r="24" spans="1:15" ht="15.75" customHeight="1" thickBot="1">
      <c r="A24" s="65"/>
      <c r="B24" s="78"/>
      <c r="C24" s="78"/>
      <c r="D24" s="78"/>
      <c r="E24" s="78"/>
      <c r="F24" s="78"/>
      <c r="G24" s="90"/>
      <c r="H24" s="78"/>
      <c r="I24" s="78"/>
      <c r="J24" s="78"/>
      <c r="K24" s="78"/>
      <c r="L24" s="78"/>
      <c r="M24" s="78"/>
      <c r="N24" s="78"/>
      <c r="O24" s="65"/>
    </row>
    <row r="25" spans="2:14" s="91" customFormat="1" ht="28.5" customHeight="1" thickTop="1">
      <c r="B25" s="92" t="s">
        <v>75</v>
      </c>
      <c r="C25" s="93"/>
      <c r="D25" s="93"/>
      <c r="E25" s="93"/>
      <c r="F25" s="93"/>
      <c r="G25" s="93"/>
      <c r="H25" s="93"/>
      <c r="I25" s="93"/>
      <c r="J25" s="93"/>
      <c r="K25" s="93"/>
      <c r="L25" s="93"/>
      <c r="M25" s="93"/>
      <c r="N25" s="94"/>
    </row>
    <row r="26" spans="2:13" s="91" customFormat="1" ht="30" customHeight="1">
      <c r="B26" s="95">
        <v>1</v>
      </c>
      <c r="C26" s="125" t="s">
        <v>90</v>
      </c>
      <c r="D26" s="126"/>
      <c r="E26" s="126"/>
      <c r="F26" s="126"/>
      <c r="G26" s="126"/>
      <c r="H26" s="126"/>
      <c r="I26" s="126"/>
      <c r="J26" s="126"/>
      <c r="K26" s="126"/>
      <c r="L26" s="126"/>
      <c r="M26" s="65"/>
    </row>
    <row r="27" spans="2:13" s="91" customFormat="1" ht="30" customHeight="1">
      <c r="B27" s="95">
        <v>2</v>
      </c>
      <c r="C27" s="125" t="s">
        <v>88</v>
      </c>
      <c r="D27" s="126"/>
      <c r="E27" s="126"/>
      <c r="F27" s="126"/>
      <c r="G27" s="126"/>
      <c r="H27" s="126"/>
      <c r="I27" s="126"/>
      <c r="J27" s="126"/>
      <c r="K27" s="126"/>
      <c r="L27" s="126"/>
      <c r="M27" s="65" t="s">
        <v>76</v>
      </c>
    </row>
    <row r="28" spans="2:13" s="91" customFormat="1" ht="45" customHeight="1">
      <c r="B28" s="95">
        <v>3</v>
      </c>
      <c r="C28" s="125" t="s">
        <v>84</v>
      </c>
      <c r="D28" s="126"/>
      <c r="E28" s="126"/>
      <c r="F28" s="126"/>
      <c r="G28" s="126"/>
      <c r="H28" s="126"/>
      <c r="I28" s="126"/>
      <c r="J28" s="126"/>
      <c r="K28" s="126"/>
      <c r="L28" s="126"/>
      <c r="M28" s="65">
        <v>52</v>
      </c>
    </row>
    <row r="29" spans="2:13" s="91" customFormat="1" ht="30" customHeight="1">
      <c r="B29" s="95">
        <v>4</v>
      </c>
      <c r="C29" s="125" t="s">
        <v>82</v>
      </c>
      <c r="D29" s="126"/>
      <c r="E29" s="126"/>
      <c r="F29" s="126"/>
      <c r="G29" s="126"/>
      <c r="H29" s="126"/>
      <c r="I29" s="126"/>
      <c r="J29" s="126"/>
      <c r="K29" s="126"/>
      <c r="L29" s="126"/>
      <c r="M29" s="65">
        <v>54</v>
      </c>
    </row>
    <row r="30" spans="2:13" s="91" customFormat="1" ht="45" customHeight="1">
      <c r="B30" s="95">
        <v>5</v>
      </c>
      <c r="C30" s="125" t="s">
        <v>86</v>
      </c>
      <c r="D30" s="126"/>
      <c r="E30" s="126"/>
      <c r="F30" s="126"/>
      <c r="G30" s="126"/>
      <c r="H30" s="126"/>
      <c r="I30" s="126"/>
      <c r="J30" s="126"/>
      <c r="K30" s="126"/>
      <c r="L30" s="126"/>
      <c r="M30" s="65">
        <v>56</v>
      </c>
    </row>
    <row r="31" spans="2:13" s="91" customFormat="1" ht="18" customHeight="1">
      <c r="B31" s="95">
        <v>6</v>
      </c>
      <c r="C31" s="125" t="s">
        <v>83</v>
      </c>
      <c r="D31" s="126"/>
      <c r="E31" s="126"/>
      <c r="F31" s="126"/>
      <c r="G31" s="126"/>
      <c r="H31" s="126"/>
      <c r="I31" s="126"/>
      <c r="J31" s="126"/>
      <c r="K31" s="126"/>
      <c r="L31" s="126"/>
      <c r="M31" s="65">
        <v>59</v>
      </c>
    </row>
    <row r="32" spans="2:13" s="91" customFormat="1" ht="30" customHeight="1">
      <c r="B32" s="95">
        <v>7</v>
      </c>
      <c r="C32" s="125" t="s">
        <v>85</v>
      </c>
      <c r="D32" s="126"/>
      <c r="E32" s="126"/>
      <c r="F32" s="126"/>
      <c r="G32" s="126"/>
      <c r="H32" s="126"/>
      <c r="I32" s="126"/>
      <c r="J32" s="126"/>
      <c r="K32" s="126"/>
      <c r="L32" s="126"/>
      <c r="M32" s="65">
        <v>60</v>
      </c>
    </row>
    <row r="33" spans="2:13" s="91" customFormat="1" ht="15" customHeight="1">
      <c r="B33" s="95">
        <v>8</v>
      </c>
      <c r="C33" s="125" t="s">
        <v>77</v>
      </c>
      <c r="D33" s="126"/>
      <c r="E33" s="126"/>
      <c r="F33" s="126"/>
      <c r="G33" s="126"/>
      <c r="H33" s="126"/>
      <c r="I33" s="126"/>
      <c r="J33" s="126"/>
      <c r="K33" s="126"/>
      <c r="L33" s="126"/>
      <c r="M33" s="65">
        <v>61</v>
      </c>
    </row>
    <row r="34" spans="2:13" s="91" customFormat="1" ht="60" customHeight="1">
      <c r="B34" s="95">
        <v>9</v>
      </c>
      <c r="C34" s="125" t="s">
        <v>91</v>
      </c>
      <c r="D34" s="126"/>
      <c r="E34" s="126"/>
      <c r="F34" s="126"/>
      <c r="G34" s="126"/>
      <c r="H34" s="126"/>
      <c r="I34" s="126"/>
      <c r="J34" s="126"/>
      <c r="K34" s="126"/>
      <c r="L34" s="126"/>
      <c r="M34" s="65">
        <v>62</v>
      </c>
    </row>
    <row r="35" spans="2:13" s="91" customFormat="1" ht="45" customHeight="1">
      <c r="B35" s="95">
        <v>10</v>
      </c>
      <c r="C35" s="121" t="s">
        <v>102</v>
      </c>
      <c r="D35" s="122"/>
      <c r="E35" s="122"/>
      <c r="F35" s="122"/>
      <c r="G35" s="122"/>
      <c r="H35" s="122"/>
      <c r="I35" s="122"/>
      <c r="J35" s="122"/>
      <c r="K35" s="122"/>
      <c r="L35" s="122"/>
      <c r="M35" s="65">
        <v>64</v>
      </c>
    </row>
    <row r="36" spans="2:13" s="91" customFormat="1" ht="15" customHeight="1">
      <c r="B36" s="95">
        <v>11</v>
      </c>
      <c r="C36" s="121" t="s">
        <v>93</v>
      </c>
      <c r="D36" s="121"/>
      <c r="E36" s="121"/>
      <c r="F36" s="121"/>
      <c r="G36" s="121"/>
      <c r="H36" s="121"/>
      <c r="I36" s="121"/>
      <c r="J36" s="121"/>
      <c r="K36" s="121"/>
      <c r="L36" s="121"/>
      <c r="M36" s="65">
        <v>65</v>
      </c>
    </row>
    <row r="37" spans="2:13" s="91" customFormat="1" ht="30" customHeight="1">
      <c r="B37" s="95">
        <v>12</v>
      </c>
      <c r="C37" s="125" t="s">
        <v>78</v>
      </c>
      <c r="D37" s="126"/>
      <c r="E37" s="126"/>
      <c r="F37" s="126"/>
      <c r="G37" s="126"/>
      <c r="H37" s="126"/>
      <c r="I37" s="126"/>
      <c r="J37" s="126"/>
      <c r="K37" s="126"/>
      <c r="L37" s="126"/>
      <c r="M37" s="65">
        <v>68</v>
      </c>
    </row>
    <row r="38" spans="2:13" s="91" customFormat="1" ht="15" customHeight="1">
      <c r="B38" s="95">
        <v>13</v>
      </c>
      <c r="C38" s="125" t="s">
        <v>89</v>
      </c>
      <c r="D38" s="126"/>
      <c r="E38" s="126"/>
      <c r="F38" s="126"/>
      <c r="G38" s="126"/>
      <c r="H38" s="126"/>
      <c r="I38" s="126"/>
      <c r="J38" s="126"/>
      <c r="K38" s="126"/>
      <c r="L38" s="126"/>
      <c r="M38" s="65">
        <v>69</v>
      </c>
    </row>
    <row r="39" spans="2:13" s="91" customFormat="1" ht="13.5">
      <c r="B39" s="95">
        <v>14</v>
      </c>
      <c r="C39" s="125" t="s">
        <v>79</v>
      </c>
      <c r="D39" s="126"/>
      <c r="E39" s="126"/>
      <c r="F39" s="126"/>
      <c r="G39" s="126"/>
      <c r="H39" s="126"/>
      <c r="I39" s="126"/>
      <c r="J39" s="126"/>
      <c r="K39" s="126"/>
      <c r="L39" s="126"/>
      <c r="M39" s="65"/>
    </row>
    <row r="40" s="91" customFormat="1" ht="12.75" customHeight="1">
      <c r="M40" s="91">
        <v>72</v>
      </c>
    </row>
    <row r="41" spans="2:13" s="91" customFormat="1" ht="75" customHeight="1">
      <c r="B41" s="96" t="s">
        <v>80</v>
      </c>
      <c r="C41" s="125" t="s">
        <v>81</v>
      </c>
      <c r="D41" s="126"/>
      <c r="E41" s="126"/>
      <c r="F41" s="126"/>
      <c r="G41" s="126"/>
      <c r="H41" s="126"/>
      <c r="I41" s="126"/>
      <c r="J41" s="126"/>
      <c r="K41" s="126"/>
      <c r="L41" s="126"/>
      <c r="M41" s="91">
        <v>73</v>
      </c>
    </row>
    <row r="42" spans="2:12" ht="15" customHeight="1">
      <c r="B42" s="95"/>
      <c r="C42" s="97"/>
      <c r="D42" s="97"/>
      <c r="E42" s="97"/>
      <c r="F42" s="97"/>
      <c r="G42" s="97"/>
      <c r="H42" s="97"/>
      <c r="I42" s="97"/>
      <c r="J42" s="97"/>
      <c r="K42" s="97"/>
      <c r="L42" s="97"/>
    </row>
    <row r="43" spans="2:3" ht="15" customHeight="1">
      <c r="B43" s="98" t="str">
        <f ca="1">"Version 20 (23Jan2024).  Printed on "&amp;TEXT(TODAY(),"dd mmmm yyyy")</f>
        <v>Version 20 (23Jan2024).  Printed on 24 January 2024</v>
      </c>
      <c r="C43" s="99"/>
    </row>
    <row r="44" spans="2:3" ht="12.75" customHeight="1">
      <c r="B44" s="99" t="str">
        <f>"'as at' date "&amp;TEXT('calcs - nuvos'!B86,"dd mmmm yyyy")</f>
        <v>'as at' date 01 April 2024</v>
      </c>
      <c r="C44" s="99"/>
    </row>
  </sheetData>
  <sheetProtection sheet="1" selectLockedCells="1"/>
  <mergeCells count="16">
    <mergeCell ref="C36:L36"/>
    <mergeCell ref="C37:L37"/>
    <mergeCell ref="C38:L38"/>
    <mergeCell ref="C39:L39"/>
    <mergeCell ref="C41:L41"/>
    <mergeCell ref="C30:L30"/>
    <mergeCell ref="C31:L31"/>
    <mergeCell ref="C32:L32"/>
    <mergeCell ref="C33:L33"/>
    <mergeCell ref="C34:L34"/>
    <mergeCell ref="C35:L35"/>
    <mergeCell ref="E1:I1"/>
    <mergeCell ref="C26:L26"/>
    <mergeCell ref="C27:L27"/>
    <mergeCell ref="C28:L28"/>
    <mergeCell ref="C29:L29"/>
  </mergeCells>
  <conditionalFormatting sqref="L13">
    <cfRule type="expression" priority="1" dxfId="0" stopIfTrue="1">
      <formula>$J$13=""</formula>
    </cfRule>
  </conditionalFormatting>
  <dataValidations count="6">
    <dataValidation type="list" allowBlank="1" showInputMessage="1" showErrorMessage="1" sqref="G13">
      <formula1>$M$13:$M$14</formula1>
    </dataValidation>
    <dataValidation type="list" allowBlank="1" showInputMessage="1" showErrorMessage="1" sqref="G15">
      <formula1>$M$15:$M$16</formula1>
    </dataValidation>
    <dataValidation type="whole" allowBlank="1" showInputMessage="1" showErrorMessage="1" sqref="L13">
      <formula1>1</formula1>
      <formula2>45</formula2>
    </dataValidation>
    <dataValidation type="list" allowBlank="1" showInputMessage="1" showErrorMessage="1" sqref="I8:I9 G9">
      <formula1>$M$6:$M$7</formula1>
    </dataValidation>
    <dataValidation type="date" allowBlank="1" showInputMessage="1" showErrorMessage="1" error="We do not have Added Pension factors for this age" sqref="D8:D9">
      <formula1>12055</formula1>
      <formula2>33239</formula2>
    </dataValidation>
    <dataValidation type="date" allowBlank="1" showInputMessage="1" showErrorMessage="1" error="We do not have Added Pension factors for this age" sqref="G7">
      <formula1>12055</formula1>
      <formula2>37257</formula2>
    </dataValidation>
  </dataValidations>
  <printOptions/>
  <pageMargins left="0.5511811023622047" right="0.5511811023622047" top="0.5905511811023623" bottom="0.5905511811023623" header="0.5118110236220472" footer="0.5118110236220472"/>
  <pageSetup fitToHeight="1" fitToWidth="1" horizontalDpi="600" verticalDpi="600" orientation="portrait" paperSize="9" scale="59" r:id="rId4"/>
  <drawing r:id="rId3"/>
  <legacyDrawing r:id="rId2"/>
</worksheet>
</file>

<file path=xl/worksheets/sheet2.xml><?xml version="1.0" encoding="utf-8"?>
<worksheet xmlns="http://schemas.openxmlformats.org/spreadsheetml/2006/main" xmlns:r="http://schemas.openxmlformats.org/officeDocument/2006/relationships">
  <dimension ref="A1:I9"/>
  <sheetViews>
    <sheetView zoomScalePageLayoutView="0" workbookViewId="0" topLeftCell="A1">
      <selection activeCell="D8" sqref="D8"/>
    </sheetView>
  </sheetViews>
  <sheetFormatPr defaultColWidth="9.140625" defaultRowHeight="12.75"/>
  <cols>
    <col min="1" max="1" width="20.421875" style="0" customWidth="1"/>
    <col min="2" max="2" width="12.140625" style="0" customWidth="1"/>
    <col min="3" max="3" width="2.7109375" style="9" customWidth="1"/>
    <col min="4" max="4" width="13.28125" style="0" customWidth="1"/>
    <col min="5" max="6" width="10.140625" style="0" bestFit="1" customWidth="1"/>
  </cols>
  <sheetData>
    <row r="1" spans="1:4" ht="12.75">
      <c r="A1" s="57" t="s">
        <v>66</v>
      </c>
      <c r="B1" s="58"/>
      <c r="C1" s="58"/>
      <c r="D1" s="58"/>
    </row>
    <row r="2" ht="13.5" thickBot="1"/>
    <row r="3" spans="1:6" ht="13.5" thickBot="1">
      <c r="A3" t="s">
        <v>61</v>
      </c>
      <c r="B3" s="40">
        <v>0</v>
      </c>
      <c r="C3" t="s">
        <v>62</v>
      </c>
      <c r="D3" s="54">
        <v>41091</v>
      </c>
      <c r="F3" s="5">
        <v>39293</v>
      </c>
    </row>
    <row r="4" ht="13.5" thickBot="1"/>
    <row r="5" spans="1:5" ht="13.5" thickBot="1">
      <c r="A5" t="s">
        <v>53</v>
      </c>
      <c r="B5" s="37">
        <f ca="1">MAX(TODAY(),$F$3)</f>
        <v>45315</v>
      </c>
      <c r="C5" s="38"/>
      <c r="D5" t="s">
        <v>25</v>
      </c>
      <c r="E5" t="s">
        <v>64</v>
      </c>
    </row>
    <row r="7" spans="1:4" ht="12.75">
      <c r="A7" t="s">
        <v>32</v>
      </c>
      <c r="B7" s="56">
        <v>7600</v>
      </c>
      <c r="C7" s="39"/>
      <c r="D7" s="55" t="s">
        <v>92</v>
      </c>
    </row>
    <row r="9" spans="6:9" ht="12.75">
      <c r="F9" s="9"/>
      <c r="G9" s="9"/>
      <c r="H9" s="9"/>
      <c r="I9" s="9"/>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9"/>
  <sheetViews>
    <sheetView zoomScalePageLayoutView="0" workbookViewId="0" topLeftCell="A1">
      <selection activeCell="A9" sqref="A9"/>
    </sheetView>
  </sheetViews>
  <sheetFormatPr defaultColWidth="9.140625" defaultRowHeight="12.75"/>
  <cols>
    <col min="2" max="2" width="12.57421875" style="0" bestFit="1" customWidth="1"/>
  </cols>
  <sheetData>
    <row r="1" ht="12.75">
      <c r="A1" s="117" t="s">
        <v>111</v>
      </c>
    </row>
    <row r="3" spans="1:3" ht="12.75">
      <c r="A3" s="11" t="s">
        <v>104</v>
      </c>
      <c r="B3" s="113" t="s">
        <v>105</v>
      </c>
      <c r="C3" s="11" t="s">
        <v>106</v>
      </c>
    </row>
    <row r="4" spans="1:3" ht="12.75">
      <c r="A4" s="114">
        <v>20</v>
      </c>
      <c r="B4" s="115">
        <v>45314</v>
      </c>
      <c r="C4" t="s">
        <v>107</v>
      </c>
    </row>
    <row r="5" spans="1:3" ht="12.75">
      <c r="A5" s="114">
        <v>20</v>
      </c>
      <c r="B5" s="115">
        <v>45314</v>
      </c>
      <c r="C5" s="116" t="s">
        <v>108</v>
      </c>
    </row>
    <row r="6" spans="1:3" ht="12.75">
      <c r="A6" s="114">
        <v>20</v>
      </c>
      <c r="B6" s="115">
        <v>45314</v>
      </c>
      <c r="C6" t="s">
        <v>109</v>
      </c>
    </row>
    <row r="7" spans="1:3" ht="12.75">
      <c r="A7" s="114">
        <v>20</v>
      </c>
      <c r="B7" s="115">
        <v>45314</v>
      </c>
      <c r="C7" s="116" t="s">
        <v>110</v>
      </c>
    </row>
    <row r="8" spans="1:3" ht="12.75">
      <c r="A8" s="114">
        <v>20</v>
      </c>
      <c r="B8" s="115">
        <v>45314</v>
      </c>
      <c r="C8" s="116" t="s">
        <v>112</v>
      </c>
    </row>
    <row r="9" spans="1:3" ht="12.75">
      <c r="A9" s="114">
        <v>20</v>
      </c>
      <c r="B9" s="115">
        <v>45314</v>
      </c>
      <c r="C9" s="116"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131"/>
  <sheetViews>
    <sheetView zoomScalePageLayoutView="0" workbookViewId="0" topLeftCell="A1">
      <selection activeCell="D6" sqref="D6"/>
    </sheetView>
  </sheetViews>
  <sheetFormatPr defaultColWidth="9.140625" defaultRowHeight="12.75"/>
  <cols>
    <col min="1" max="1" width="31.57421875" style="0" bestFit="1" customWidth="1"/>
    <col min="6" max="6" width="4.00390625" style="0" customWidth="1"/>
    <col min="7" max="7" width="10.140625" style="0" customWidth="1"/>
    <col min="10" max="10" width="13.00390625" style="0" customWidth="1"/>
  </cols>
  <sheetData>
    <row r="1" ht="12.75">
      <c r="A1" s="104" t="s">
        <v>103</v>
      </c>
    </row>
    <row r="2" spans="1:8" ht="12.75">
      <c r="A2" s="104" t="s">
        <v>99</v>
      </c>
      <c r="B2" s="104">
        <v>1324</v>
      </c>
      <c r="C2" s="104">
        <v>1324</v>
      </c>
      <c r="D2" s="104">
        <v>1354</v>
      </c>
      <c r="E2" s="104">
        <v>1354</v>
      </c>
      <c r="G2" s="104">
        <v>1324</v>
      </c>
      <c r="H2" s="104">
        <v>1354</v>
      </c>
    </row>
    <row r="3" spans="1:8" ht="12.75">
      <c r="A3" s="104" t="s">
        <v>100</v>
      </c>
      <c r="B3" s="104">
        <v>724</v>
      </c>
      <c r="C3" s="104">
        <v>724</v>
      </c>
      <c r="D3" s="104">
        <v>727</v>
      </c>
      <c r="E3" s="104">
        <v>727</v>
      </c>
      <c r="G3" s="104">
        <v>724</v>
      </c>
      <c r="H3" s="104">
        <v>727</v>
      </c>
    </row>
    <row r="4" spans="1:7" ht="12.75">
      <c r="A4" s="104"/>
      <c r="B4" s="11" t="s">
        <v>41</v>
      </c>
      <c r="G4" s="11" t="s">
        <v>49</v>
      </c>
    </row>
    <row r="5" spans="2:11" s="11" customFormat="1" ht="12.75">
      <c r="B5" s="11" t="s">
        <v>16</v>
      </c>
      <c r="D5" s="11" t="s">
        <v>21</v>
      </c>
      <c r="G5" s="11" t="s">
        <v>16</v>
      </c>
      <c r="H5" s="11" t="s">
        <v>21</v>
      </c>
      <c r="K5" s="11" t="s">
        <v>63</v>
      </c>
    </row>
    <row r="6" spans="1:10" ht="26.25" customHeight="1">
      <c r="A6" t="s">
        <v>0</v>
      </c>
      <c r="B6" t="s">
        <v>1</v>
      </c>
      <c r="C6" t="s">
        <v>2</v>
      </c>
      <c r="D6" t="s">
        <v>1</v>
      </c>
      <c r="E6" t="s">
        <v>2</v>
      </c>
      <c r="G6" t="s">
        <v>42</v>
      </c>
      <c r="H6" t="s">
        <v>42</v>
      </c>
      <c r="J6" s="1" t="s">
        <v>40</v>
      </c>
    </row>
    <row r="7" spans="1:11" ht="12.75">
      <c r="A7">
        <v>16</v>
      </c>
      <c r="B7" s="52">
        <v>9.34</v>
      </c>
      <c r="C7" s="52">
        <v>9.34</v>
      </c>
      <c r="D7" s="33">
        <v>9.51</v>
      </c>
      <c r="E7" s="31">
        <v>9.51</v>
      </c>
      <c r="F7" s="22"/>
      <c r="G7" s="52">
        <v>10.13</v>
      </c>
      <c r="H7" s="33">
        <v>10.31</v>
      </c>
      <c r="I7" s="2"/>
      <c r="J7">
        <v>0</v>
      </c>
      <c r="K7" s="28">
        <v>1</v>
      </c>
    </row>
    <row r="8" spans="1:11" ht="12.75">
      <c r="A8">
        <v>17</v>
      </c>
      <c r="B8" s="53">
        <v>9.48</v>
      </c>
      <c r="C8" s="53">
        <v>9.48</v>
      </c>
      <c r="D8" s="34">
        <v>9.65</v>
      </c>
      <c r="E8" s="32">
        <v>9.65</v>
      </c>
      <c r="F8" s="22"/>
      <c r="G8" s="53">
        <v>10.31</v>
      </c>
      <c r="H8" s="34">
        <v>10.5</v>
      </c>
      <c r="I8" s="2"/>
      <c r="J8">
        <v>1</v>
      </c>
      <c r="K8" s="29">
        <v>1</v>
      </c>
    </row>
    <row r="9" spans="1:11" ht="12.75">
      <c r="A9">
        <v>18</v>
      </c>
      <c r="B9" s="53">
        <v>9.61</v>
      </c>
      <c r="C9" s="53">
        <v>9.61</v>
      </c>
      <c r="D9" s="34">
        <v>9.79</v>
      </c>
      <c r="E9" s="32">
        <v>9.79</v>
      </c>
      <c r="F9" s="22"/>
      <c r="G9" s="53">
        <v>10.5</v>
      </c>
      <c r="H9" s="34">
        <v>10.7</v>
      </c>
      <c r="I9" s="2"/>
      <c r="J9">
        <v>2</v>
      </c>
      <c r="K9" s="29">
        <v>1</v>
      </c>
    </row>
    <row r="10" spans="1:11" ht="12.75">
      <c r="A10">
        <v>19</v>
      </c>
      <c r="B10" s="53">
        <v>9.75</v>
      </c>
      <c r="C10" s="53">
        <v>9.75</v>
      </c>
      <c r="D10" s="34">
        <v>9.93</v>
      </c>
      <c r="E10" s="32">
        <v>9.93</v>
      </c>
      <c r="F10" s="22"/>
      <c r="G10" s="53">
        <v>10.68</v>
      </c>
      <c r="H10" s="34">
        <v>10.88</v>
      </c>
      <c r="I10" s="2"/>
      <c r="J10">
        <v>3</v>
      </c>
      <c r="K10" s="29">
        <v>1</v>
      </c>
    </row>
    <row r="11" spans="1:11" ht="12.75">
      <c r="A11">
        <v>20</v>
      </c>
      <c r="B11" s="53">
        <v>9.89</v>
      </c>
      <c r="C11" s="53">
        <v>9.89</v>
      </c>
      <c r="D11" s="34">
        <v>10.08</v>
      </c>
      <c r="E11" s="32">
        <v>10.08</v>
      </c>
      <c r="F11" s="22"/>
      <c r="G11" s="53">
        <v>10.84</v>
      </c>
      <c r="H11" s="34">
        <v>11.04</v>
      </c>
      <c r="I11" s="2"/>
      <c r="J11">
        <v>4</v>
      </c>
      <c r="K11" s="29">
        <v>1</v>
      </c>
    </row>
    <row r="12" spans="1:11" ht="12.75">
      <c r="A12">
        <v>21</v>
      </c>
      <c r="B12" s="53">
        <v>10.04</v>
      </c>
      <c r="C12" s="53">
        <v>10.04</v>
      </c>
      <c r="D12" s="34">
        <v>10.22</v>
      </c>
      <c r="E12" s="32">
        <v>10.22</v>
      </c>
      <c r="F12" s="22"/>
      <c r="G12" s="53">
        <v>11</v>
      </c>
      <c r="H12" s="34">
        <v>11.2</v>
      </c>
      <c r="I12" s="2"/>
      <c r="J12">
        <v>5</v>
      </c>
      <c r="K12" s="29">
        <v>1</v>
      </c>
    </row>
    <row r="13" spans="1:11" ht="12.75">
      <c r="A13">
        <v>22</v>
      </c>
      <c r="B13" s="53">
        <v>10.18</v>
      </c>
      <c r="C13" s="53">
        <v>10.18</v>
      </c>
      <c r="D13" s="34">
        <v>10.37</v>
      </c>
      <c r="E13" s="32">
        <v>10.37</v>
      </c>
      <c r="F13" s="22"/>
      <c r="G13" s="53">
        <v>11.16</v>
      </c>
      <c r="H13" s="34">
        <v>11.36</v>
      </c>
      <c r="I13" s="2"/>
      <c r="J13">
        <v>6</v>
      </c>
      <c r="K13" s="29">
        <v>1</v>
      </c>
    </row>
    <row r="14" spans="1:11" ht="12.75">
      <c r="A14">
        <v>23</v>
      </c>
      <c r="B14" s="53">
        <v>10.33</v>
      </c>
      <c r="C14" s="53">
        <v>10.33</v>
      </c>
      <c r="D14" s="34">
        <v>10.52</v>
      </c>
      <c r="E14" s="32">
        <v>10.52</v>
      </c>
      <c r="F14" s="22"/>
      <c r="G14" s="53">
        <v>11.32</v>
      </c>
      <c r="H14" s="34">
        <v>11.53</v>
      </c>
      <c r="I14" s="2"/>
      <c r="J14">
        <v>7</v>
      </c>
      <c r="K14" s="29">
        <v>1</v>
      </c>
    </row>
    <row r="15" spans="1:11" ht="12.75">
      <c r="A15">
        <v>24</v>
      </c>
      <c r="B15" s="53">
        <v>10.48</v>
      </c>
      <c r="C15" s="53">
        <v>10.48</v>
      </c>
      <c r="D15" s="34">
        <v>10.68</v>
      </c>
      <c r="E15" s="32">
        <v>10.68</v>
      </c>
      <c r="F15" s="22"/>
      <c r="G15" s="53">
        <v>11.49</v>
      </c>
      <c r="H15" s="34">
        <v>11.7</v>
      </c>
      <c r="I15" s="2"/>
      <c r="J15">
        <v>8</v>
      </c>
      <c r="K15" s="29">
        <v>1</v>
      </c>
    </row>
    <row r="16" spans="1:11" ht="12.75">
      <c r="A16">
        <v>25</v>
      </c>
      <c r="B16" s="53">
        <v>10.63</v>
      </c>
      <c r="C16" s="53">
        <v>10.63</v>
      </c>
      <c r="D16" s="34">
        <v>10.83</v>
      </c>
      <c r="E16" s="32">
        <v>10.83</v>
      </c>
      <c r="F16" s="22"/>
      <c r="G16" s="53">
        <v>11.65</v>
      </c>
      <c r="H16" s="34">
        <v>11.87</v>
      </c>
      <c r="I16" s="2"/>
      <c r="J16">
        <v>9</v>
      </c>
      <c r="K16" s="29">
        <v>1</v>
      </c>
    </row>
    <row r="17" spans="1:11" ht="12.75">
      <c r="A17">
        <v>26</v>
      </c>
      <c r="B17" s="53">
        <v>10.79</v>
      </c>
      <c r="C17" s="53">
        <v>10.79</v>
      </c>
      <c r="D17" s="34">
        <v>10.99</v>
      </c>
      <c r="E17" s="32">
        <v>10.99</v>
      </c>
      <c r="F17" s="22"/>
      <c r="G17" s="53">
        <v>11.82</v>
      </c>
      <c r="H17" s="34">
        <v>12.04</v>
      </c>
      <c r="I17" s="2"/>
      <c r="J17">
        <v>10</v>
      </c>
      <c r="K17" s="29">
        <v>1</v>
      </c>
    </row>
    <row r="18" spans="1:11" ht="12.75">
      <c r="A18">
        <v>27</v>
      </c>
      <c r="B18" s="53">
        <v>10.95</v>
      </c>
      <c r="C18" s="53">
        <v>10.95</v>
      </c>
      <c r="D18" s="34">
        <v>11.15</v>
      </c>
      <c r="E18" s="32">
        <v>11.15</v>
      </c>
      <c r="F18" s="22"/>
      <c r="G18" s="53">
        <v>12</v>
      </c>
      <c r="H18" s="34">
        <v>12.22</v>
      </c>
      <c r="I18" s="2"/>
      <c r="J18">
        <v>11</v>
      </c>
      <c r="K18" s="29">
        <v>1</v>
      </c>
    </row>
    <row r="19" spans="1:11" ht="12.75">
      <c r="A19">
        <v>28</v>
      </c>
      <c r="B19" s="53">
        <v>11.11</v>
      </c>
      <c r="C19" s="53">
        <v>11.11</v>
      </c>
      <c r="D19" s="34">
        <v>11.31</v>
      </c>
      <c r="E19" s="32">
        <v>11.31</v>
      </c>
      <c r="F19" s="22"/>
      <c r="G19" s="53">
        <v>12.17</v>
      </c>
      <c r="H19" s="34">
        <v>12.4</v>
      </c>
      <c r="I19" s="2"/>
      <c r="J19">
        <v>12</v>
      </c>
      <c r="K19" s="29">
        <v>1</v>
      </c>
    </row>
    <row r="20" spans="1:11" ht="12.75">
      <c r="A20">
        <v>29</v>
      </c>
      <c r="B20" s="53">
        <v>11.27</v>
      </c>
      <c r="C20" s="53">
        <v>11.27</v>
      </c>
      <c r="D20" s="34">
        <v>11.47</v>
      </c>
      <c r="E20" s="32">
        <v>11.47</v>
      </c>
      <c r="F20" s="22"/>
      <c r="G20" s="53">
        <v>12.35</v>
      </c>
      <c r="H20" s="34">
        <v>12.58</v>
      </c>
      <c r="I20" s="2"/>
      <c r="J20">
        <v>13</v>
      </c>
      <c r="K20" s="29">
        <v>1</v>
      </c>
    </row>
    <row r="21" spans="1:11" ht="12.75">
      <c r="A21">
        <v>30</v>
      </c>
      <c r="B21" s="53">
        <v>11.43</v>
      </c>
      <c r="C21" s="53">
        <v>11.43</v>
      </c>
      <c r="D21" s="34">
        <v>11.64</v>
      </c>
      <c r="E21" s="32">
        <v>11.64</v>
      </c>
      <c r="F21" s="22"/>
      <c r="G21" s="53">
        <v>12.53</v>
      </c>
      <c r="H21" s="34">
        <v>12.76</v>
      </c>
      <c r="I21" s="2"/>
      <c r="J21">
        <v>14</v>
      </c>
      <c r="K21" s="29">
        <v>1</v>
      </c>
    </row>
    <row r="22" spans="1:11" ht="12.75">
      <c r="A22">
        <v>31</v>
      </c>
      <c r="B22" s="53">
        <v>11.59</v>
      </c>
      <c r="C22" s="53">
        <v>11.59</v>
      </c>
      <c r="D22" s="34">
        <v>11.81</v>
      </c>
      <c r="E22" s="32">
        <v>11.81</v>
      </c>
      <c r="F22" s="22"/>
      <c r="G22" s="53">
        <v>12.71</v>
      </c>
      <c r="H22" s="34">
        <v>12.94</v>
      </c>
      <c r="I22" s="2"/>
      <c r="J22">
        <v>15</v>
      </c>
      <c r="K22" s="29">
        <v>1</v>
      </c>
    </row>
    <row r="23" spans="1:11" ht="12.75">
      <c r="A23">
        <v>32</v>
      </c>
      <c r="B23" s="53">
        <v>11.76</v>
      </c>
      <c r="C23" s="53">
        <v>11.76</v>
      </c>
      <c r="D23" s="34">
        <v>11.98</v>
      </c>
      <c r="E23" s="32">
        <v>11.98</v>
      </c>
      <c r="F23" s="22"/>
      <c r="G23" s="53">
        <v>12.89</v>
      </c>
      <c r="H23" s="34">
        <v>13.13</v>
      </c>
      <c r="I23" s="2"/>
      <c r="J23">
        <v>16</v>
      </c>
      <c r="K23" s="29">
        <v>1</v>
      </c>
    </row>
    <row r="24" spans="1:11" ht="12.75">
      <c r="A24">
        <v>33</v>
      </c>
      <c r="B24" s="53">
        <v>11.93</v>
      </c>
      <c r="C24" s="53">
        <v>11.93</v>
      </c>
      <c r="D24" s="34">
        <v>12.15</v>
      </c>
      <c r="E24" s="32">
        <v>12.15</v>
      </c>
      <c r="F24" s="22"/>
      <c r="G24" s="53">
        <v>13.07</v>
      </c>
      <c r="H24" s="34">
        <v>13.32</v>
      </c>
      <c r="I24" s="2"/>
      <c r="J24">
        <v>17</v>
      </c>
      <c r="K24" s="29">
        <v>1</v>
      </c>
    </row>
    <row r="25" spans="1:11" ht="12.75">
      <c r="A25">
        <v>34</v>
      </c>
      <c r="B25" s="53">
        <v>12.1</v>
      </c>
      <c r="C25" s="53">
        <v>12.1</v>
      </c>
      <c r="D25" s="34">
        <v>12.32</v>
      </c>
      <c r="E25" s="32">
        <v>12.32</v>
      </c>
      <c r="F25" s="22"/>
      <c r="G25" s="53">
        <v>13.26</v>
      </c>
      <c r="H25" s="34">
        <v>13.5</v>
      </c>
      <c r="I25" s="2"/>
      <c r="J25">
        <v>18</v>
      </c>
      <c r="K25" s="29">
        <v>1</v>
      </c>
    </row>
    <row r="26" spans="1:11" ht="12.75">
      <c r="A26">
        <v>35</v>
      </c>
      <c r="B26" s="53">
        <v>12.27</v>
      </c>
      <c r="C26" s="53">
        <v>12.27</v>
      </c>
      <c r="D26" s="34">
        <v>12.5</v>
      </c>
      <c r="E26" s="32">
        <v>12.5</v>
      </c>
      <c r="F26" s="22"/>
      <c r="G26" s="53">
        <v>13.45</v>
      </c>
      <c r="H26" s="34">
        <v>13.7</v>
      </c>
      <c r="I26" s="2"/>
      <c r="J26">
        <v>19</v>
      </c>
      <c r="K26" s="29">
        <v>1</v>
      </c>
    </row>
    <row r="27" spans="1:11" ht="12.75">
      <c r="A27">
        <v>36</v>
      </c>
      <c r="B27" s="53">
        <v>12.44</v>
      </c>
      <c r="C27" s="53">
        <v>12.44</v>
      </c>
      <c r="D27" s="34">
        <v>12.67</v>
      </c>
      <c r="E27" s="32">
        <v>12.67</v>
      </c>
      <c r="F27" s="22"/>
      <c r="G27" s="53">
        <v>13.64</v>
      </c>
      <c r="H27" s="34">
        <v>13.89</v>
      </c>
      <c r="I27" s="2"/>
      <c r="J27">
        <v>20</v>
      </c>
      <c r="K27" s="29">
        <v>1</v>
      </c>
    </row>
    <row r="28" spans="1:11" ht="12.75">
      <c r="A28">
        <v>37</v>
      </c>
      <c r="B28" s="53">
        <v>12.62</v>
      </c>
      <c r="C28" s="53">
        <v>12.62</v>
      </c>
      <c r="D28" s="34">
        <v>12.85</v>
      </c>
      <c r="E28" s="32">
        <v>12.85</v>
      </c>
      <c r="F28" s="22"/>
      <c r="G28" s="53">
        <v>13.83</v>
      </c>
      <c r="H28" s="34">
        <v>14.08</v>
      </c>
      <c r="I28" s="2"/>
      <c r="J28">
        <v>21</v>
      </c>
      <c r="K28" s="29">
        <v>1</v>
      </c>
    </row>
    <row r="29" spans="1:11" ht="12.75">
      <c r="A29">
        <v>38</v>
      </c>
      <c r="B29" s="53">
        <v>12.8</v>
      </c>
      <c r="C29" s="53">
        <v>12.8</v>
      </c>
      <c r="D29" s="34">
        <v>13.03</v>
      </c>
      <c r="E29" s="32">
        <v>13.03</v>
      </c>
      <c r="F29" s="22"/>
      <c r="G29" s="53">
        <v>14.02</v>
      </c>
      <c r="H29" s="34">
        <v>14.28</v>
      </c>
      <c r="I29" s="2"/>
      <c r="J29">
        <v>22</v>
      </c>
      <c r="K29" s="29">
        <v>1</v>
      </c>
    </row>
    <row r="30" spans="1:11" ht="12.75">
      <c r="A30">
        <v>39</v>
      </c>
      <c r="B30" s="53">
        <v>12.98</v>
      </c>
      <c r="C30" s="53">
        <v>12.98</v>
      </c>
      <c r="D30" s="34">
        <v>13.22</v>
      </c>
      <c r="E30" s="32">
        <v>13.22</v>
      </c>
      <c r="F30" s="22"/>
      <c r="G30" s="53">
        <v>14.22</v>
      </c>
      <c r="H30" s="34">
        <v>14.48</v>
      </c>
      <c r="I30" s="2"/>
      <c r="J30">
        <v>23</v>
      </c>
      <c r="K30" s="29">
        <v>1</v>
      </c>
    </row>
    <row r="31" spans="1:11" ht="12.75">
      <c r="A31">
        <v>40</v>
      </c>
      <c r="B31" s="53">
        <v>13.16</v>
      </c>
      <c r="C31" s="53">
        <v>13.16</v>
      </c>
      <c r="D31" s="34">
        <v>13.4</v>
      </c>
      <c r="E31" s="32">
        <v>13.4</v>
      </c>
      <c r="F31" s="22"/>
      <c r="G31" s="53">
        <v>14.42</v>
      </c>
      <c r="H31" s="34">
        <v>14.68</v>
      </c>
      <c r="I31" s="2"/>
      <c r="J31">
        <v>24</v>
      </c>
      <c r="K31" s="29">
        <v>1</v>
      </c>
    </row>
    <row r="32" spans="1:11" ht="12.75">
      <c r="A32">
        <v>41</v>
      </c>
      <c r="B32" s="53">
        <v>13.34</v>
      </c>
      <c r="C32" s="53">
        <v>13.34</v>
      </c>
      <c r="D32" s="34">
        <v>13.59</v>
      </c>
      <c r="E32" s="32">
        <v>13.59</v>
      </c>
      <c r="F32" s="22"/>
      <c r="G32" s="53">
        <v>14.62</v>
      </c>
      <c r="H32" s="34">
        <v>14.89</v>
      </c>
      <c r="I32" s="2"/>
      <c r="J32">
        <v>25</v>
      </c>
      <c r="K32" s="29">
        <v>1</v>
      </c>
    </row>
    <row r="33" spans="1:11" ht="12.75">
      <c r="A33">
        <v>42</v>
      </c>
      <c r="B33" s="53">
        <v>13.53</v>
      </c>
      <c r="C33" s="53">
        <v>13.53</v>
      </c>
      <c r="D33" s="34">
        <v>13.78</v>
      </c>
      <c r="E33" s="32">
        <v>13.78</v>
      </c>
      <c r="F33" s="22"/>
      <c r="G33" s="53">
        <v>14.82</v>
      </c>
      <c r="H33" s="34">
        <v>15.09</v>
      </c>
      <c r="I33" s="2"/>
      <c r="J33">
        <v>26</v>
      </c>
      <c r="K33" s="29">
        <v>1</v>
      </c>
    </row>
    <row r="34" spans="1:11" ht="12.75">
      <c r="A34">
        <v>43</v>
      </c>
      <c r="B34" s="53">
        <v>13.72</v>
      </c>
      <c r="C34" s="53">
        <v>13.72</v>
      </c>
      <c r="D34" s="34">
        <v>13.98</v>
      </c>
      <c r="E34" s="32">
        <v>13.98</v>
      </c>
      <c r="F34" s="22"/>
      <c r="G34" s="53">
        <v>15.02</v>
      </c>
      <c r="H34" s="34">
        <v>15.3</v>
      </c>
      <c r="I34" s="2"/>
      <c r="J34">
        <v>27</v>
      </c>
      <c r="K34" s="29">
        <v>1</v>
      </c>
    </row>
    <row r="35" spans="1:11" ht="12.75">
      <c r="A35">
        <v>44</v>
      </c>
      <c r="B35" s="53">
        <v>13.91</v>
      </c>
      <c r="C35" s="53">
        <v>13.91</v>
      </c>
      <c r="D35" s="34">
        <v>14.17</v>
      </c>
      <c r="E35" s="32">
        <v>14.17</v>
      </c>
      <c r="F35" s="22"/>
      <c r="G35" s="53">
        <v>15.23</v>
      </c>
      <c r="H35" s="34">
        <v>15.51</v>
      </c>
      <c r="I35" s="2"/>
      <c r="J35">
        <v>28</v>
      </c>
      <c r="K35" s="29">
        <v>1</v>
      </c>
    </row>
    <row r="36" spans="1:11" ht="12.75">
      <c r="A36">
        <v>45</v>
      </c>
      <c r="B36" s="53">
        <v>14.11</v>
      </c>
      <c r="C36" s="53">
        <v>14.11</v>
      </c>
      <c r="D36" s="34">
        <v>14.37</v>
      </c>
      <c r="E36" s="32">
        <v>14.37</v>
      </c>
      <c r="F36" s="22"/>
      <c r="G36" s="53">
        <v>15.44</v>
      </c>
      <c r="H36" s="34">
        <v>15.73</v>
      </c>
      <c r="I36" s="2"/>
      <c r="J36">
        <v>29</v>
      </c>
      <c r="K36" s="29">
        <v>1</v>
      </c>
    </row>
    <row r="37" spans="1:11" ht="12.75">
      <c r="A37">
        <v>46</v>
      </c>
      <c r="B37" s="53">
        <v>14.31</v>
      </c>
      <c r="C37" s="53">
        <v>14.31</v>
      </c>
      <c r="D37" s="34">
        <v>14.57</v>
      </c>
      <c r="E37" s="32">
        <v>14.57</v>
      </c>
      <c r="F37" s="22"/>
      <c r="G37" s="53">
        <v>15.66</v>
      </c>
      <c r="H37" s="34">
        <v>15.95</v>
      </c>
      <c r="I37" s="2"/>
      <c r="J37">
        <v>30</v>
      </c>
      <c r="K37" s="29">
        <v>1</v>
      </c>
    </row>
    <row r="38" spans="1:11" ht="12.75">
      <c r="A38">
        <v>47</v>
      </c>
      <c r="B38" s="53">
        <v>14.51</v>
      </c>
      <c r="C38" s="53">
        <v>14.51</v>
      </c>
      <c r="D38" s="34">
        <v>14.78</v>
      </c>
      <c r="E38" s="32">
        <v>14.78</v>
      </c>
      <c r="F38" s="22"/>
      <c r="G38" s="53">
        <v>15.87</v>
      </c>
      <c r="H38" s="34">
        <v>16.16</v>
      </c>
      <c r="I38" s="2"/>
      <c r="J38">
        <v>31</v>
      </c>
      <c r="K38" s="29">
        <v>1</v>
      </c>
    </row>
    <row r="39" spans="1:11" ht="12.75">
      <c r="A39">
        <v>48</v>
      </c>
      <c r="B39" s="53">
        <v>14.71</v>
      </c>
      <c r="C39" s="53">
        <v>14.71</v>
      </c>
      <c r="D39" s="34">
        <v>14.98</v>
      </c>
      <c r="E39" s="32">
        <v>14.98</v>
      </c>
      <c r="F39" s="22"/>
      <c r="G39" s="53">
        <v>16.09</v>
      </c>
      <c r="H39" s="34">
        <v>16.39</v>
      </c>
      <c r="I39" s="2"/>
      <c r="J39">
        <v>32</v>
      </c>
      <c r="K39" s="29">
        <v>1</v>
      </c>
    </row>
    <row r="40" spans="1:11" ht="12.75">
      <c r="A40">
        <v>49</v>
      </c>
      <c r="B40" s="53">
        <v>14.92</v>
      </c>
      <c r="C40" s="53">
        <v>14.92</v>
      </c>
      <c r="D40" s="34">
        <v>15.2</v>
      </c>
      <c r="E40" s="32">
        <v>15.2</v>
      </c>
      <c r="F40" s="22"/>
      <c r="G40" s="53">
        <v>16.31</v>
      </c>
      <c r="H40" s="34">
        <v>16.61</v>
      </c>
      <c r="I40" s="2"/>
      <c r="J40">
        <v>33</v>
      </c>
      <c r="K40" s="29">
        <v>1</v>
      </c>
    </row>
    <row r="41" spans="1:11" ht="12.75">
      <c r="A41">
        <v>50</v>
      </c>
      <c r="B41" s="53">
        <v>15.13</v>
      </c>
      <c r="C41" s="53">
        <v>15.13</v>
      </c>
      <c r="D41" s="34">
        <v>15.41</v>
      </c>
      <c r="E41" s="32">
        <v>15.41</v>
      </c>
      <c r="F41" s="22"/>
      <c r="G41" s="53">
        <v>16.53</v>
      </c>
      <c r="H41" s="34">
        <v>16.84</v>
      </c>
      <c r="I41" s="2"/>
      <c r="J41">
        <v>34</v>
      </c>
      <c r="K41" s="29">
        <v>1</v>
      </c>
    </row>
    <row r="42" spans="1:11" ht="12.75">
      <c r="A42">
        <v>51</v>
      </c>
      <c r="B42" s="53">
        <v>15.34</v>
      </c>
      <c r="C42" s="53">
        <v>15.34</v>
      </c>
      <c r="D42" s="34">
        <v>15.63</v>
      </c>
      <c r="E42" s="32">
        <v>15.63</v>
      </c>
      <c r="F42" s="22"/>
      <c r="G42" s="53">
        <v>16.76</v>
      </c>
      <c r="H42" s="34">
        <v>17.07</v>
      </c>
      <c r="I42" s="2"/>
      <c r="J42">
        <v>35</v>
      </c>
      <c r="K42" s="29">
        <v>1</v>
      </c>
    </row>
    <row r="43" spans="1:11" ht="12.75">
      <c r="A43">
        <v>52</v>
      </c>
      <c r="B43" s="53">
        <v>15.56</v>
      </c>
      <c r="C43" s="53">
        <v>15.56</v>
      </c>
      <c r="D43" s="34">
        <v>15.85</v>
      </c>
      <c r="E43" s="32">
        <v>15.85</v>
      </c>
      <c r="F43" s="22"/>
      <c r="G43" s="53">
        <v>16.99</v>
      </c>
      <c r="H43" s="34">
        <v>17.3</v>
      </c>
      <c r="I43" s="2"/>
      <c r="J43">
        <v>36</v>
      </c>
      <c r="K43" s="29">
        <v>1</v>
      </c>
    </row>
    <row r="44" spans="1:11" ht="12.75">
      <c r="A44">
        <v>53</v>
      </c>
      <c r="B44" s="53">
        <v>15.78</v>
      </c>
      <c r="C44" s="53">
        <v>15.78</v>
      </c>
      <c r="D44" s="34">
        <v>16.08</v>
      </c>
      <c r="E44" s="32">
        <v>16.08</v>
      </c>
      <c r="F44" s="22"/>
      <c r="G44" s="53">
        <v>17.22</v>
      </c>
      <c r="H44" s="34">
        <v>17.54</v>
      </c>
      <c r="I44" s="2"/>
      <c r="J44">
        <v>37</v>
      </c>
      <c r="K44" s="29">
        <v>1</v>
      </c>
    </row>
    <row r="45" spans="1:11" ht="12.75">
      <c r="A45">
        <v>54</v>
      </c>
      <c r="B45" s="53">
        <v>16.01</v>
      </c>
      <c r="C45" s="53">
        <v>16.01</v>
      </c>
      <c r="D45" s="34">
        <v>16.31</v>
      </c>
      <c r="E45" s="32">
        <v>16.31</v>
      </c>
      <c r="F45" s="22"/>
      <c r="G45" s="53">
        <v>17.46</v>
      </c>
      <c r="H45" s="34">
        <v>17.78</v>
      </c>
      <c r="I45" s="2"/>
      <c r="J45">
        <v>38</v>
      </c>
      <c r="K45" s="29">
        <v>1</v>
      </c>
    </row>
    <row r="46" spans="1:11" ht="12.75">
      <c r="A46">
        <v>55</v>
      </c>
      <c r="B46" s="53">
        <v>16.24</v>
      </c>
      <c r="C46" s="53">
        <v>16.24</v>
      </c>
      <c r="D46" s="34">
        <v>16.54</v>
      </c>
      <c r="E46" s="32">
        <v>16.54</v>
      </c>
      <c r="F46" s="22"/>
      <c r="G46" s="53">
        <v>17.7</v>
      </c>
      <c r="H46" s="34">
        <v>18.03</v>
      </c>
      <c r="I46" s="2"/>
      <c r="J46">
        <v>39</v>
      </c>
      <c r="K46" s="29">
        <v>1</v>
      </c>
    </row>
    <row r="47" spans="1:11" ht="12.75">
      <c r="A47">
        <v>56</v>
      </c>
      <c r="B47" s="53">
        <v>16.48</v>
      </c>
      <c r="C47" s="53">
        <v>16.48</v>
      </c>
      <c r="D47" s="34">
        <v>16.79</v>
      </c>
      <c r="E47" s="32">
        <v>16.79</v>
      </c>
      <c r="F47" s="22"/>
      <c r="G47" s="53">
        <v>17.95</v>
      </c>
      <c r="H47" s="34">
        <v>18.28</v>
      </c>
      <c r="I47" s="2"/>
      <c r="J47">
        <v>40</v>
      </c>
      <c r="K47" s="29">
        <v>1</v>
      </c>
    </row>
    <row r="48" spans="1:11" ht="12.75">
      <c r="A48">
        <v>57</v>
      </c>
      <c r="B48" s="53">
        <v>16.73</v>
      </c>
      <c r="C48" s="53">
        <v>16.73</v>
      </c>
      <c r="D48" s="34">
        <v>17.04</v>
      </c>
      <c r="E48" s="32">
        <v>17.04</v>
      </c>
      <c r="F48" s="22"/>
      <c r="G48" s="53">
        <v>18.21</v>
      </c>
      <c r="H48" s="34">
        <v>18.54</v>
      </c>
      <c r="I48" s="2"/>
      <c r="J48">
        <v>41</v>
      </c>
      <c r="K48" s="29">
        <v>1</v>
      </c>
    </row>
    <row r="49" spans="1:11" ht="12.75">
      <c r="A49">
        <v>58</v>
      </c>
      <c r="B49" s="53">
        <v>16.98</v>
      </c>
      <c r="C49" s="53">
        <v>16.98</v>
      </c>
      <c r="D49" s="34">
        <v>17.3</v>
      </c>
      <c r="E49" s="32">
        <v>17.3</v>
      </c>
      <c r="F49" s="22"/>
      <c r="G49" s="53">
        <v>18.47</v>
      </c>
      <c r="H49" s="34">
        <v>18.81</v>
      </c>
      <c r="I49" s="2"/>
      <c r="J49">
        <v>42</v>
      </c>
      <c r="K49" s="29">
        <v>1</v>
      </c>
    </row>
    <row r="50" spans="1:11" ht="12.75">
      <c r="A50">
        <v>59</v>
      </c>
      <c r="B50" s="53">
        <v>17.25</v>
      </c>
      <c r="C50" s="53">
        <v>17.25</v>
      </c>
      <c r="D50" s="34">
        <v>17.57</v>
      </c>
      <c r="E50" s="32">
        <v>17.57</v>
      </c>
      <c r="F50" s="22"/>
      <c r="G50" s="53">
        <v>18.74</v>
      </c>
      <c r="H50" s="34">
        <v>19.08</v>
      </c>
      <c r="I50" s="2"/>
      <c r="J50">
        <v>43</v>
      </c>
      <c r="K50" s="29">
        <v>1</v>
      </c>
    </row>
    <row r="51" spans="1:11" ht="12.75">
      <c r="A51">
        <v>60</v>
      </c>
      <c r="B51" s="53">
        <v>17.52</v>
      </c>
      <c r="C51" s="53">
        <v>17.52</v>
      </c>
      <c r="D51" s="34">
        <v>17.85</v>
      </c>
      <c r="E51" s="32">
        <v>17.85</v>
      </c>
      <c r="F51" s="24"/>
      <c r="G51" s="53">
        <v>19.02</v>
      </c>
      <c r="H51" s="34">
        <v>19.37</v>
      </c>
      <c r="I51" s="2"/>
      <c r="J51">
        <v>44</v>
      </c>
      <c r="K51" s="29">
        <v>1</v>
      </c>
    </row>
    <row r="52" spans="1:11" ht="12.75">
      <c r="A52">
        <v>61</v>
      </c>
      <c r="B52" s="53">
        <v>17.81</v>
      </c>
      <c r="C52" s="53">
        <v>17.81</v>
      </c>
      <c r="D52" s="34">
        <v>18.14</v>
      </c>
      <c r="E52" s="32">
        <v>18.14</v>
      </c>
      <c r="F52" s="24"/>
      <c r="G52" s="53">
        <v>19.31</v>
      </c>
      <c r="H52" s="34">
        <v>19.66</v>
      </c>
      <c r="I52" s="2"/>
      <c r="J52">
        <v>45</v>
      </c>
      <c r="K52" s="29">
        <v>1</v>
      </c>
    </row>
    <row r="53" spans="1:11" ht="12.75">
      <c r="A53">
        <v>62</v>
      </c>
      <c r="B53" s="53">
        <v>18.11</v>
      </c>
      <c r="C53" s="53">
        <v>18.11</v>
      </c>
      <c r="D53" s="34">
        <v>18.44</v>
      </c>
      <c r="E53" s="32">
        <v>18.44</v>
      </c>
      <c r="F53" s="24"/>
      <c r="G53" s="53">
        <v>19.61</v>
      </c>
      <c r="H53" s="34">
        <v>19.97</v>
      </c>
      <c r="I53" s="2"/>
      <c r="J53">
        <v>46</v>
      </c>
      <c r="K53" s="29">
        <v>1</v>
      </c>
    </row>
    <row r="54" spans="1:11" ht="12.75">
      <c r="A54">
        <v>63</v>
      </c>
      <c r="B54" s="53">
        <v>18.42</v>
      </c>
      <c r="C54" s="53">
        <v>18.42</v>
      </c>
      <c r="D54" s="34">
        <v>18.76</v>
      </c>
      <c r="E54" s="32">
        <v>18.76</v>
      </c>
      <c r="F54" s="24"/>
      <c r="G54" s="53">
        <v>19.93</v>
      </c>
      <c r="H54" s="34">
        <v>20.29</v>
      </c>
      <c r="I54" s="2"/>
      <c r="J54">
        <v>47</v>
      </c>
      <c r="K54" s="29">
        <v>1</v>
      </c>
    </row>
    <row r="55" spans="1:11" ht="12.75">
      <c r="A55">
        <v>64</v>
      </c>
      <c r="B55" s="53">
        <v>18.75</v>
      </c>
      <c r="C55" s="53">
        <v>18.75</v>
      </c>
      <c r="D55" s="34">
        <v>19.1</v>
      </c>
      <c r="E55" s="34">
        <v>19.1</v>
      </c>
      <c r="F55" s="24"/>
      <c r="G55" s="53">
        <v>20.26</v>
      </c>
      <c r="H55" s="34">
        <v>20.63</v>
      </c>
      <c r="I55" s="2"/>
      <c r="J55">
        <v>48</v>
      </c>
      <c r="K55" s="29">
        <v>1</v>
      </c>
    </row>
    <row r="56" spans="1:11" ht="12.75">
      <c r="A56">
        <v>65</v>
      </c>
      <c r="B56" s="53">
        <v>18.61</v>
      </c>
      <c r="C56" s="53">
        <v>18.61</v>
      </c>
      <c r="D56" s="34">
        <v>18.96</v>
      </c>
      <c r="E56" s="34">
        <v>18.96</v>
      </c>
      <c r="F56" s="24"/>
      <c r="G56" s="53">
        <v>20.12</v>
      </c>
      <c r="H56" s="34">
        <v>20.49</v>
      </c>
      <c r="I56" s="2"/>
      <c r="J56">
        <v>49</v>
      </c>
      <c r="K56" s="29">
        <v>1</v>
      </c>
    </row>
    <row r="57" spans="1:11" ht="12.75">
      <c r="A57">
        <v>66</v>
      </c>
      <c r="B57" s="53">
        <v>17.98</v>
      </c>
      <c r="C57" s="53">
        <v>17.98</v>
      </c>
      <c r="D57" s="34">
        <v>18.31</v>
      </c>
      <c r="E57" s="34">
        <v>18.31</v>
      </c>
      <c r="F57" s="24"/>
      <c r="G57" s="53">
        <v>19.49</v>
      </c>
      <c r="H57" s="34">
        <v>19.85</v>
      </c>
      <c r="I57" s="2"/>
      <c r="J57">
        <v>50</v>
      </c>
      <c r="K57" s="30">
        <v>1</v>
      </c>
    </row>
    <row r="58" spans="1:11" ht="12.75">
      <c r="A58">
        <v>67</v>
      </c>
      <c r="B58" s="53">
        <v>17.35</v>
      </c>
      <c r="C58" s="53">
        <v>17.35</v>
      </c>
      <c r="D58" s="34">
        <v>17.67</v>
      </c>
      <c r="E58" s="34">
        <v>17.67</v>
      </c>
      <c r="F58" s="24"/>
      <c r="G58" s="53">
        <v>18.86</v>
      </c>
      <c r="H58" s="34">
        <v>19.2</v>
      </c>
      <c r="I58" s="2"/>
      <c r="K58" s="23"/>
    </row>
    <row r="59" spans="1:11" ht="12.75">
      <c r="A59">
        <v>68</v>
      </c>
      <c r="B59" s="53">
        <v>16.71</v>
      </c>
      <c r="C59" s="53">
        <v>16.71</v>
      </c>
      <c r="D59" s="34">
        <v>17.02</v>
      </c>
      <c r="E59" s="34">
        <v>17.02</v>
      </c>
      <c r="F59" s="24"/>
      <c r="G59" s="53">
        <v>18.22</v>
      </c>
      <c r="H59" s="34">
        <v>18.56</v>
      </c>
      <c r="I59" s="2"/>
      <c r="K59" s="23"/>
    </row>
    <row r="60" spans="1:11" ht="12.75">
      <c r="A60">
        <v>69</v>
      </c>
      <c r="B60" s="53">
        <v>16.08</v>
      </c>
      <c r="C60" s="53">
        <v>16.08</v>
      </c>
      <c r="D60" s="34">
        <v>16.38</v>
      </c>
      <c r="E60" s="34">
        <v>16.38</v>
      </c>
      <c r="F60" s="24"/>
      <c r="G60" s="53">
        <v>17.58</v>
      </c>
      <c r="H60" s="34">
        <v>17.91</v>
      </c>
      <c r="I60" s="2"/>
      <c r="K60" s="23"/>
    </row>
    <row r="61" spans="1:11" ht="12.75">
      <c r="A61">
        <v>70</v>
      </c>
      <c r="B61" s="53">
        <v>15.45</v>
      </c>
      <c r="C61" s="53">
        <v>15.45</v>
      </c>
      <c r="D61" s="34">
        <v>15.73</v>
      </c>
      <c r="E61" s="34">
        <v>15.73</v>
      </c>
      <c r="F61" s="24"/>
      <c r="G61" s="53">
        <v>16.94</v>
      </c>
      <c r="H61" s="34">
        <v>17.26</v>
      </c>
      <c r="I61" s="2"/>
      <c r="K61" s="23"/>
    </row>
    <row r="62" spans="1:11" ht="12.75">
      <c r="A62">
        <v>71</v>
      </c>
      <c r="B62" s="53">
        <v>14.82</v>
      </c>
      <c r="C62" s="53">
        <v>14.82</v>
      </c>
      <c r="D62" s="34">
        <v>15.09</v>
      </c>
      <c r="E62" s="34">
        <v>15.09</v>
      </c>
      <c r="F62" s="13"/>
      <c r="G62" s="53">
        <v>16.31</v>
      </c>
      <c r="H62" s="34">
        <v>16.61</v>
      </c>
      <c r="I62" s="2"/>
      <c r="K62" s="23"/>
    </row>
    <row r="63" spans="1:11" ht="12.75">
      <c r="A63">
        <v>72</v>
      </c>
      <c r="B63" s="53">
        <v>14.19</v>
      </c>
      <c r="C63" s="53">
        <v>14.19</v>
      </c>
      <c r="D63" s="34">
        <v>14.45</v>
      </c>
      <c r="E63" s="34">
        <v>14.45</v>
      </c>
      <c r="F63" s="13"/>
      <c r="G63" s="53">
        <v>15.67</v>
      </c>
      <c r="H63" s="34">
        <v>15.96</v>
      </c>
      <c r="I63" s="2"/>
      <c r="K63" s="23"/>
    </row>
    <row r="64" spans="1:8" ht="12.75">
      <c r="A64">
        <v>73</v>
      </c>
      <c r="B64" s="53">
        <v>13.57</v>
      </c>
      <c r="C64" s="53">
        <v>13.57</v>
      </c>
      <c r="D64" s="34">
        <v>13.82</v>
      </c>
      <c r="E64" s="34">
        <v>13.82</v>
      </c>
      <c r="G64" s="53">
        <v>15.04</v>
      </c>
      <c r="H64" s="34">
        <v>15.32</v>
      </c>
    </row>
    <row r="65" spans="1:8" ht="12.75">
      <c r="A65">
        <v>74</v>
      </c>
      <c r="B65" s="53">
        <v>12.95</v>
      </c>
      <c r="C65" s="53">
        <v>12.95</v>
      </c>
      <c r="D65" s="34">
        <v>13.19</v>
      </c>
      <c r="E65" s="34">
        <v>13.19</v>
      </c>
      <c r="G65" s="53">
        <v>14.41</v>
      </c>
      <c r="H65" s="34">
        <v>14.68</v>
      </c>
    </row>
    <row r="66" spans="1:8" ht="12.75">
      <c r="A66">
        <v>75</v>
      </c>
      <c r="B66" s="60">
        <v>12.65</v>
      </c>
      <c r="C66" s="60">
        <v>12.65</v>
      </c>
      <c r="D66" s="59">
        <v>12.88</v>
      </c>
      <c r="E66" s="59">
        <v>12.88</v>
      </c>
      <c r="G66" s="60">
        <v>14.1</v>
      </c>
      <c r="H66" s="59">
        <v>14.36</v>
      </c>
    </row>
    <row r="69" ht="12.75">
      <c r="A69" s="11" t="s">
        <v>37</v>
      </c>
    </row>
    <row r="70" ht="12.75">
      <c r="B70" t="s">
        <v>39</v>
      </c>
    </row>
    <row r="71" spans="1:14" ht="12.75">
      <c r="A71" t="s">
        <v>38</v>
      </c>
      <c r="B71" s="14">
        <v>0</v>
      </c>
      <c r="C71" s="14">
        <v>0.01</v>
      </c>
      <c r="D71" s="14">
        <v>0.02</v>
      </c>
      <c r="E71" s="14">
        <v>0.03</v>
      </c>
      <c r="H71" s="42" t="s">
        <v>65</v>
      </c>
      <c r="I71" s="46"/>
      <c r="J71" s="46"/>
      <c r="K71" s="46"/>
      <c r="L71" s="46"/>
      <c r="M71" s="46"/>
      <c r="N71" s="47"/>
    </row>
    <row r="72" spans="1:14" ht="12.75">
      <c r="A72">
        <v>16</v>
      </c>
      <c r="B72" s="51">
        <v>1</v>
      </c>
      <c r="C72" s="35">
        <v>1</v>
      </c>
      <c r="D72" s="35">
        <v>1</v>
      </c>
      <c r="E72" s="36">
        <v>1</v>
      </c>
      <c r="H72" s="43"/>
      <c r="I72" s="44"/>
      <c r="J72" s="44"/>
      <c r="K72" s="44"/>
      <c r="L72" s="44"/>
      <c r="M72" s="44"/>
      <c r="N72" s="48"/>
    </row>
    <row r="73" spans="1:14" ht="12.75">
      <c r="A73">
        <v>17</v>
      </c>
      <c r="B73" s="51">
        <v>1</v>
      </c>
      <c r="C73" s="35">
        <v>1</v>
      </c>
      <c r="D73" s="35">
        <v>1</v>
      </c>
      <c r="E73" s="36">
        <v>1</v>
      </c>
      <c r="H73" s="43"/>
      <c r="I73" s="44"/>
      <c r="J73" s="44"/>
      <c r="K73" s="44"/>
      <c r="L73" s="44"/>
      <c r="M73" s="44"/>
      <c r="N73" s="48"/>
    </row>
    <row r="74" spans="1:14" ht="12.75">
      <c r="A74">
        <v>18</v>
      </c>
      <c r="B74" s="51">
        <v>1</v>
      </c>
      <c r="C74" s="35">
        <v>1</v>
      </c>
      <c r="D74" s="35">
        <v>1</v>
      </c>
      <c r="E74" s="36">
        <v>1</v>
      </c>
      <c r="H74" s="43"/>
      <c r="I74" s="44"/>
      <c r="J74" s="44"/>
      <c r="K74" s="44"/>
      <c r="L74" s="44"/>
      <c r="M74" s="44"/>
      <c r="N74" s="48"/>
    </row>
    <row r="75" spans="1:14" ht="12.75">
      <c r="A75">
        <v>19</v>
      </c>
      <c r="B75" s="51">
        <v>1</v>
      </c>
      <c r="C75" s="35">
        <v>1</v>
      </c>
      <c r="D75" s="35">
        <v>1</v>
      </c>
      <c r="E75" s="36">
        <v>1</v>
      </c>
      <c r="H75" s="45"/>
      <c r="I75" s="49"/>
      <c r="J75" s="49"/>
      <c r="K75" s="49"/>
      <c r="L75" s="49"/>
      <c r="M75" s="49"/>
      <c r="N75" s="50"/>
    </row>
    <row r="76" spans="1:5" ht="12.75">
      <c r="A76">
        <v>20</v>
      </c>
      <c r="B76" s="51">
        <v>1</v>
      </c>
      <c r="C76" s="35">
        <v>1</v>
      </c>
      <c r="D76" s="35">
        <v>1</v>
      </c>
      <c r="E76" s="36">
        <v>1</v>
      </c>
    </row>
    <row r="77" spans="1:5" ht="12.75">
      <c r="A77">
        <v>21</v>
      </c>
      <c r="B77" s="51">
        <v>1</v>
      </c>
      <c r="C77" s="35">
        <v>1</v>
      </c>
      <c r="D77" s="35">
        <v>1</v>
      </c>
      <c r="E77" s="36">
        <v>1</v>
      </c>
    </row>
    <row r="78" spans="1:5" ht="12.75">
      <c r="A78">
        <v>22</v>
      </c>
      <c r="B78" s="51">
        <v>1</v>
      </c>
      <c r="C78" s="35">
        <v>1</v>
      </c>
      <c r="D78" s="35">
        <v>1</v>
      </c>
      <c r="E78" s="36">
        <v>1</v>
      </c>
    </row>
    <row r="79" spans="1:5" ht="12.75">
      <c r="A79">
        <v>23</v>
      </c>
      <c r="B79" s="51">
        <v>1</v>
      </c>
      <c r="C79" s="35">
        <v>1</v>
      </c>
      <c r="D79" s="35">
        <v>1</v>
      </c>
      <c r="E79" s="36">
        <v>1</v>
      </c>
    </row>
    <row r="80" spans="1:5" ht="12.75">
      <c r="A80">
        <v>24</v>
      </c>
      <c r="B80" s="51">
        <v>1</v>
      </c>
      <c r="C80" s="35">
        <v>1</v>
      </c>
      <c r="D80" s="35">
        <v>1</v>
      </c>
      <c r="E80" s="36">
        <v>1</v>
      </c>
    </row>
    <row r="81" spans="1:5" ht="12.75">
      <c r="A81">
        <v>25</v>
      </c>
      <c r="B81" s="51">
        <v>1</v>
      </c>
      <c r="C81" s="35">
        <v>1</v>
      </c>
      <c r="D81" s="35">
        <v>1</v>
      </c>
      <c r="E81" s="36">
        <v>1</v>
      </c>
    </row>
    <row r="82" spans="1:5" ht="12.75">
      <c r="A82">
        <v>26</v>
      </c>
      <c r="B82" s="51">
        <v>1</v>
      </c>
      <c r="C82" s="35">
        <v>1</v>
      </c>
      <c r="D82" s="35">
        <v>1</v>
      </c>
      <c r="E82" s="36">
        <v>1</v>
      </c>
    </row>
    <row r="83" spans="1:5" ht="12.75">
      <c r="A83">
        <v>27</v>
      </c>
      <c r="B83" s="51">
        <v>1</v>
      </c>
      <c r="C83" s="35">
        <v>1</v>
      </c>
      <c r="D83" s="35">
        <v>1</v>
      </c>
      <c r="E83" s="36">
        <v>1</v>
      </c>
    </row>
    <row r="84" spans="1:5" ht="12.75">
      <c r="A84">
        <v>28</v>
      </c>
      <c r="B84" s="51">
        <v>1</v>
      </c>
      <c r="C84" s="35">
        <v>1</v>
      </c>
      <c r="D84" s="35">
        <v>1</v>
      </c>
      <c r="E84" s="36">
        <v>1</v>
      </c>
    </row>
    <row r="85" spans="1:5" ht="12.75">
      <c r="A85">
        <v>29</v>
      </c>
      <c r="B85" s="51">
        <v>1</v>
      </c>
      <c r="C85" s="35">
        <v>1</v>
      </c>
      <c r="D85" s="35">
        <v>1</v>
      </c>
      <c r="E85" s="36">
        <v>1</v>
      </c>
    </row>
    <row r="86" spans="1:5" ht="12.75">
      <c r="A86">
        <v>30</v>
      </c>
      <c r="B86" s="51">
        <v>1</v>
      </c>
      <c r="C86" s="35">
        <v>1</v>
      </c>
      <c r="D86" s="35">
        <v>1</v>
      </c>
      <c r="E86" s="36">
        <v>1</v>
      </c>
    </row>
    <row r="87" spans="1:5" ht="12.75">
      <c r="A87">
        <v>31</v>
      </c>
      <c r="B87" s="51">
        <v>1</v>
      </c>
      <c r="C87" s="35">
        <v>1</v>
      </c>
      <c r="D87" s="35">
        <v>1</v>
      </c>
      <c r="E87" s="36">
        <v>1</v>
      </c>
    </row>
    <row r="88" spans="1:5" ht="12.75">
      <c r="A88">
        <v>32</v>
      </c>
      <c r="B88" s="51">
        <v>1</v>
      </c>
      <c r="C88" s="35">
        <v>1</v>
      </c>
      <c r="D88" s="35">
        <v>1</v>
      </c>
      <c r="E88" s="36">
        <v>1</v>
      </c>
    </row>
    <row r="89" spans="1:5" ht="12.75">
      <c r="A89">
        <v>33</v>
      </c>
      <c r="B89" s="51">
        <v>1</v>
      </c>
      <c r="C89" s="35">
        <v>1</v>
      </c>
      <c r="D89" s="35">
        <v>1</v>
      </c>
      <c r="E89" s="36">
        <v>1</v>
      </c>
    </row>
    <row r="90" spans="1:5" ht="12.75">
      <c r="A90">
        <v>34</v>
      </c>
      <c r="B90" s="51">
        <v>1</v>
      </c>
      <c r="C90" s="35">
        <v>1</v>
      </c>
      <c r="D90" s="35">
        <v>1</v>
      </c>
      <c r="E90" s="36">
        <v>1</v>
      </c>
    </row>
    <row r="91" spans="1:5" ht="12.75">
      <c r="A91">
        <v>35</v>
      </c>
      <c r="B91" s="51">
        <v>1</v>
      </c>
      <c r="C91" s="35">
        <v>1</v>
      </c>
      <c r="D91" s="35">
        <v>1</v>
      </c>
      <c r="E91" s="36">
        <v>1</v>
      </c>
    </row>
    <row r="92" spans="1:5" ht="12.75">
      <c r="A92">
        <v>36</v>
      </c>
      <c r="B92" s="51">
        <v>1</v>
      </c>
      <c r="C92" s="35">
        <v>1</v>
      </c>
      <c r="D92" s="35">
        <v>1</v>
      </c>
      <c r="E92" s="36">
        <v>1</v>
      </c>
    </row>
    <row r="93" spans="1:5" ht="12.75">
      <c r="A93">
        <v>37</v>
      </c>
      <c r="B93" s="51">
        <v>1</v>
      </c>
      <c r="C93" s="35">
        <v>1</v>
      </c>
      <c r="D93" s="35">
        <v>1</v>
      </c>
      <c r="E93" s="36">
        <v>1</v>
      </c>
    </row>
    <row r="94" spans="1:5" ht="12.75">
      <c r="A94">
        <v>38</v>
      </c>
      <c r="B94" s="51">
        <v>1</v>
      </c>
      <c r="C94" s="35">
        <v>1</v>
      </c>
      <c r="D94" s="35">
        <v>1</v>
      </c>
      <c r="E94" s="36">
        <v>1</v>
      </c>
    </row>
    <row r="95" spans="1:5" ht="12.75">
      <c r="A95">
        <v>39</v>
      </c>
      <c r="B95" s="51">
        <v>1</v>
      </c>
      <c r="C95" s="35">
        <v>1</v>
      </c>
      <c r="D95" s="35">
        <v>1</v>
      </c>
      <c r="E95" s="36">
        <v>1</v>
      </c>
    </row>
    <row r="96" spans="1:5" ht="12.75">
      <c r="A96">
        <v>40</v>
      </c>
      <c r="B96" s="51">
        <v>1</v>
      </c>
      <c r="C96" s="35">
        <v>1</v>
      </c>
      <c r="D96" s="35">
        <v>1</v>
      </c>
      <c r="E96" s="36">
        <v>1</v>
      </c>
    </row>
    <row r="97" spans="1:5" ht="12.75">
      <c r="A97">
        <v>41</v>
      </c>
      <c r="B97" s="51">
        <v>1</v>
      </c>
      <c r="C97" s="35">
        <v>1</v>
      </c>
      <c r="D97" s="35">
        <v>1</v>
      </c>
      <c r="E97" s="36">
        <v>1</v>
      </c>
    </row>
    <row r="98" spans="1:5" ht="12.75">
      <c r="A98">
        <v>42</v>
      </c>
      <c r="B98" s="51">
        <v>1</v>
      </c>
      <c r="C98" s="35">
        <v>1</v>
      </c>
      <c r="D98" s="35">
        <v>1</v>
      </c>
      <c r="E98" s="36">
        <v>1</v>
      </c>
    </row>
    <row r="99" spans="1:5" ht="12.75">
      <c r="A99">
        <v>43</v>
      </c>
      <c r="B99" s="51">
        <v>1</v>
      </c>
      <c r="C99" s="35">
        <v>1</v>
      </c>
      <c r="D99" s="35">
        <v>1</v>
      </c>
      <c r="E99" s="36">
        <v>1</v>
      </c>
    </row>
    <row r="100" spans="1:5" ht="12.75">
      <c r="A100">
        <v>44</v>
      </c>
      <c r="B100" s="51">
        <v>1</v>
      </c>
      <c r="C100" s="35">
        <v>1</v>
      </c>
      <c r="D100" s="35">
        <v>1</v>
      </c>
      <c r="E100" s="36">
        <v>1</v>
      </c>
    </row>
    <row r="101" spans="1:5" ht="12.75">
      <c r="A101">
        <v>45</v>
      </c>
      <c r="B101" s="51">
        <v>1</v>
      </c>
      <c r="C101" s="35">
        <v>1</v>
      </c>
      <c r="D101" s="35">
        <v>1</v>
      </c>
      <c r="E101" s="36">
        <v>1</v>
      </c>
    </row>
    <row r="102" spans="1:5" ht="12.75">
      <c r="A102">
        <v>46</v>
      </c>
      <c r="B102" s="51">
        <v>1</v>
      </c>
      <c r="C102" s="35">
        <v>1</v>
      </c>
      <c r="D102" s="35">
        <v>1</v>
      </c>
      <c r="E102" s="36">
        <v>1</v>
      </c>
    </row>
    <row r="103" spans="1:5" ht="12.75">
      <c r="A103">
        <v>47</v>
      </c>
      <c r="B103" s="51">
        <v>1</v>
      </c>
      <c r="C103" s="35">
        <v>1</v>
      </c>
      <c r="D103" s="35">
        <v>1</v>
      </c>
      <c r="E103" s="36">
        <v>1</v>
      </c>
    </row>
    <row r="104" spans="1:5" ht="12.75">
      <c r="A104">
        <v>48</v>
      </c>
      <c r="B104" s="51">
        <v>1</v>
      </c>
      <c r="C104" s="35">
        <v>1</v>
      </c>
      <c r="D104" s="35">
        <v>1</v>
      </c>
      <c r="E104" s="36">
        <v>1</v>
      </c>
    </row>
    <row r="105" spans="1:5" ht="12.75">
      <c r="A105">
        <v>49</v>
      </c>
      <c r="B105" s="51">
        <v>1</v>
      </c>
      <c r="C105" s="35">
        <v>1</v>
      </c>
      <c r="D105" s="35">
        <v>1</v>
      </c>
      <c r="E105" s="36">
        <v>1</v>
      </c>
    </row>
    <row r="106" spans="1:5" ht="12.75">
      <c r="A106">
        <v>50</v>
      </c>
      <c r="B106" s="51">
        <v>1</v>
      </c>
      <c r="C106" s="35">
        <v>1</v>
      </c>
      <c r="D106" s="35">
        <v>1</v>
      </c>
      <c r="E106" s="36">
        <v>1</v>
      </c>
    </row>
    <row r="107" spans="1:5" ht="12.75">
      <c r="A107">
        <v>51</v>
      </c>
      <c r="B107" s="51">
        <v>1</v>
      </c>
      <c r="C107" s="35">
        <v>1</v>
      </c>
      <c r="D107" s="35">
        <v>1</v>
      </c>
      <c r="E107" s="36">
        <v>1</v>
      </c>
    </row>
    <row r="108" spans="1:5" ht="12.75">
      <c r="A108">
        <v>52</v>
      </c>
      <c r="B108" s="51">
        <v>1</v>
      </c>
      <c r="C108" s="35">
        <v>1</v>
      </c>
      <c r="D108" s="35">
        <v>1</v>
      </c>
      <c r="E108" s="36">
        <v>1</v>
      </c>
    </row>
    <row r="109" spans="1:5" ht="12.75">
      <c r="A109">
        <v>53</v>
      </c>
      <c r="B109" s="51">
        <v>1</v>
      </c>
      <c r="C109" s="35">
        <v>1</v>
      </c>
      <c r="D109" s="35">
        <v>1</v>
      </c>
      <c r="E109" s="36">
        <v>1</v>
      </c>
    </row>
    <row r="110" spans="1:5" ht="12.75">
      <c r="A110">
        <v>54</v>
      </c>
      <c r="B110" s="51">
        <v>1</v>
      </c>
      <c r="C110" s="35">
        <v>1</v>
      </c>
      <c r="D110" s="35">
        <v>1</v>
      </c>
      <c r="E110" s="36">
        <v>1</v>
      </c>
    </row>
    <row r="111" spans="1:5" ht="12.75">
      <c r="A111">
        <v>55</v>
      </c>
      <c r="B111" s="51">
        <v>1</v>
      </c>
      <c r="C111" s="35">
        <v>1</v>
      </c>
      <c r="D111" s="35">
        <v>1</v>
      </c>
      <c r="E111" s="36">
        <v>1</v>
      </c>
    </row>
    <row r="112" spans="1:5" ht="12.75">
      <c r="A112">
        <v>56</v>
      </c>
      <c r="B112" s="51">
        <v>1</v>
      </c>
      <c r="C112" s="35">
        <v>1</v>
      </c>
      <c r="D112" s="35">
        <v>1</v>
      </c>
      <c r="E112" s="36">
        <v>1</v>
      </c>
    </row>
    <row r="113" spans="1:5" ht="12.75">
      <c r="A113">
        <v>57</v>
      </c>
      <c r="B113" s="51">
        <v>1</v>
      </c>
      <c r="C113" s="35">
        <v>1</v>
      </c>
      <c r="D113" s="35">
        <v>1</v>
      </c>
      <c r="E113" s="36">
        <v>1</v>
      </c>
    </row>
    <row r="114" spans="1:5" ht="12.75">
      <c r="A114">
        <v>58</v>
      </c>
      <c r="B114" s="51">
        <v>1</v>
      </c>
      <c r="C114" s="35">
        <v>1</v>
      </c>
      <c r="D114" s="35">
        <v>1</v>
      </c>
      <c r="E114" s="36">
        <v>1</v>
      </c>
    </row>
    <row r="115" spans="1:5" ht="12.75">
      <c r="A115">
        <v>59</v>
      </c>
      <c r="B115" s="51">
        <v>1</v>
      </c>
      <c r="C115" s="35">
        <v>1</v>
      </c>
      <c r="D115" s="35">
        <v>1</v>
      </c>
      <c r="E115" s="36">
        <v>1</v>
      </c>
    </row>
    <row r="116" spans="1:5" ht="12.75">
      <c r="A116">
        <v>60</v>
      </c>
      <c r="B116" s="51">
        <v>1</v>
      </c>
      <c r="C116" s="35">
        <v>1</v>
      </c>
      <c r="D116" s="35">
        <v>1</v>
      </c>
      <c r="E116" s="36">
        <v>1</v>
      </c>
    </row>
    <row r="117" spans="1:5" ht="12.75">
      <c r="A117">
        <v>61</v>
      </c>
      <c r="B117" s="51">
        <v>1</v>
      </c>
      <c r="C117" s="35">
        <v>1</v>
      </c>
      <c r="D117" s="35">
        <v>1</v>
      </c>
      <c r="E117" s="36">
        <v>1</v>
      </c>
    </row>
    <row r="118" spans="1:5" ht="12.75">
      <c r="A118">
        <v>62</v>
      </c>
      <c r="B118" s="51">
        <v>1</v>
      </c>
      <c r="C118" s="35">
        <v>1</v>
      </c>
      <c r="D118" s="35">
        <v>1</v>
      </c>
      <c r="E118" s="36">
        <v>1</v>
      </c>
    </row>
    <row r="119" spans="1:5" ht="12.75">
      <c r="A119">
        <v>63</v>
      </c>
      <c r="B119" s="51">
        <v>1</v>
      </c>
      <c r="C119" s="35">
        <v>1</v>
      </c>
      <c r="D119" s="35">
        <v>1</v>
      </c>
      <c r="E119" s="36">
        <v>1</v>
      </c>
    </row>
    <row r="120" spans="1:5" ht="12.75">
      <c r="A120">
        <v>64</v>
      </c>
      <c r="B120" s="51">
        <v>1</v>
      </c>
      <c r="C120" s="35">
        <v>1</v>
      </c>
      <c r="D120" s="35">
        <v>1</v>
      </c>
      <c r="E120" s="36">
        <v>1</v>
      </c>
    </row>
    <row r="121" spans="1:5" ht="12.75">
      <c r="A121">
        <v>65</v>
      </c>
      <c r="B121" s="51">
        <v>1</v>
      </c>
      <c r="C121" s="35">
        <v>1</v>
      </c>
      <c r="D121" s="35">
        <v>1</v>
      </c>
      <c r="E121" s="36">
        <v>1</v>
      </c>
    </row>
    <row r="122" spans="1:5" ht="12.75">
      <c r="A122">
        <v>66</v>
      </c>
      <c r="B122" s="51">
        <v>1</v>
      </c>
      <c r="C122" s="35">
        <v>1</v>
      </c>
      <c r="D122" s="35">
        <v>1</v>
      </c>
      <c r="E122" s="36">
        <v>1</v>
      </c>
    </row>
    <row r="123" spans="1:5" ht="12.75">
      <c r="A123">
        <v>67</v>
      </c>
      <c r="B123" s="51">
        <v>1</v>
      </c>
      <c r="C123" s="35">
        <v>1</v>
      </c>
      <c r="D123" s="35">
        <v>1</v>
      </c>
      <c r="E123" s="36">
        <v>1</v>
      </c>
    </row>
    <row r="124" spans="1:5" ht="12.75">
      <c r="A124">
        <v>68</v>
      </c>
      <c r="B124" s="51">
        <v>1</v>
      </c>
      <c r="C124" s="35">
        <v>1</v>
      </c>
      <c r="D124" s="35">
        <v>1</v>
      </c>
      <c r="E124" s="36">
        <v>1</v>
      </c>
    </row>
    <row r="125" spans="1:5" ht="12.75">
      <c r="A125">
        <v>69</v>
      </c>
      <c r="B125" s="51">
        <v>1</v>
      </c>
      <c r="C125" s="35">
        <v>1</v>
      </c>
      <c r="D125" s="35">
        <v>1</v>
      </c>
      <c r="E125" s="36">
        <v>1</v>
      </c>
    </row>
    <row r="126" spans="1:5" ht="12.75">
      <c r="A126">
        <v>70</v>
      </c>
      <c r="B126" s="51">
        <v>1</v>
      </c>
      <c r="C126" s="35">
        <v>1</v>
      </c>
      <c r="D126" s="35">
        <v>1</v>
      </c>
      <c r="E126" s="36">
        <v>1</v>
      </c>
    </row>
    <row r="127" spans="1:5" ht="12.75">
      <c r="A127">
        <v>71</v>
      </c>
      <c r="B127" s="51">
        <v>1</v>
      </c>
      <c r="C127" s="35">
        <v>1</v>
      </c>
      <c r="D127" s="35">
        <v>1</v>
      </c>
      <c r="E127" s="36">
        <v>1</v>
      </c>
    </row>
    <row r="128" spans="1:5" ht="12.75">
      <c r="A128">
        <v>72</v>
      </c>
      <c r="B128" s="51">
        <v>1</v>
      </c>
      <c r="C128" s="35">
        <v>1</v>
      </c>
      <c r="D128" s="35">
        <v>1</v>
      </c>
      <c r="E128" s="36">
        <v>1</v>
      </c>
    </row>
    <row r="129" spans="1:5" ht="12.75">
      <c r="A129">
        <v>73</v>
      </c>
      <c r="B129" s="51">
        <v>1</v>
      </c>
      <c r="C129" s="35">
        <v>1</v>
      </c>
      <c r="D129" s="35">
        <v>1</v>
      </c>
      <c r="E129" s="36">
        <v>1</v>
      </c>
    </row>
    <row r="130" spans="1:5" ht="12.75">
      <c r="A130">
        <v>74</v>
      </c>
      <c r="B130" s="51">
        <v>1</v>
      </c>
      <c r="C130" s="35">
        <v>1</v>
      </c>
      <c r="D130" s="35">
        <v>1</v>
      </c>
      <c r="E130" s="36">
        <v>1</v>
      </c>
    </row>
    <row r="131" spans="1:5" ht="12.75">
      <c r="A131">
        <v>75</v>
      </c>
      <c r="B131" s="51">
        <v>1</v>
      </c>
      <c r="C131" s="35">
        <v>1</v>
      </c>
      <c r="D131" s="35">
        <v>1</v>
      </c>
      <c r="E131" s="36">
        <v>1</v>
      </c>
    </row>
  </sheetData>
  <sheetProtection sheet="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86"/>
  <sheetViews>
    <sheetView zoomScalePageLayoutView="0" workbookViewId="0" topLeftCell="A1">
      <selection activeCell="A1" sqref="A1"/>
    </sheetView>
  </sheetViews>
  <sheetFormatPr defaultColWidth="9.140625" defaultRowHeight="12.75"/>
  <cols>
    <col min="1" max="1" width="24.28125" style="0" bestFit="1" customWidth="1"/>
    <col min="2" max="2" width="18.57421875" style="0" customWidth="1"/>
    <col min="3" max="3" width="10.140625" style="0" customWidth="1"/>
    <col min="4" max="4" width="10.140625" style="0" bestFit="1" customWidth="1"/>
    <col min="5" max="5" width="12.140625" style="0" customWidth="1"/>
    <col min="6" max="6" width="12.8515625" style="0" customWidth="1"/>
    <col min="7" max="7" width="12.7109375" style="0" bestFit="1" customWidth="1"/>
    <col min="8" max="8" width="28.28125" style="0" bestFit="1" customWidth="1"/>
  </cols>
  <sheetData>
    <row r="1" ht="13.5" thickBot="1">
      <c r="A1" s="26"/>
    </row>
    <row r="2" spans="1:7" ht="13.5" thickBot="1">
      <c r="A2" t="s">
        <v>33</v>
      </c>
      <c r="B2" s="3">
        <f>'inputs and results'!G13</f>
        <v>0</v>
      </c>
      <c r="C2" s="3">
        <f>IF(D2&lt;&gt;"LS",'inputs and results'!L13,0)</f>
        <v>1</v>
      </c>
      <c r="D2" t="str">
        <f>(IF(B2="lump sum","LS","periodicals"))</f>
        <v>periodicals</v>
      </c>
      <c r="F2" t="s">
        <v>52</v>
      </c>
      <c r="G2" s="41">
        <f>'Variable information'!B3</f>
        <v>0</v>
      </c>
    </row>
    <row r="3" spans="1:7" ht="12.75">
      <c r="A3" t="s">
        <v>34</v>
      </c>
      <c r="B3" s="3">
        <f>'inputs and results'!G15</f>
        <v>0</v>
      </c>
      <c r="C3" t="str">
        <f>IF(B3="pension for self only","self","self+")</f>
        <v>self+</v>
      </c>
      <c r="F3" t="s">
        <v>32</v>
      </c>
      <c r="G3" s="21">
        <v>9000</v>
      </c>
    </row>
    <row r="4" spans="1:2" ht="12.75">
      <c r="A4" t="s">
        <v>35</v>
      </c>
      <c r="B4" s="3" t="str">
        <f>IF('inputs and results'!G17&lt;&gt;"","savings","target pension")</f>
        <v>target pension</v>
      </c>
    </row>
    <row r="5" spans="1:2" ht="12.75">
      <c r="A5" t="s">
        <v>36</v>
      </c>
      <c r="B5" s="3">
        <f>IF(B4="savings",'inputs and results'!G17,'inputs and results'!G19)</f>
        <v>0</v>
      </c>
    </row>
    <row r="6" spans="1:2" ht="12.75">
      <c r="A6" t="s">
        <v>5</v>
      </c>
      <c r="B6" s="3">
        <v>65</v>
      </c>
    </row>
    <row r="7" spans="1:4" ht="13.5" thickBot="1">
      <c r="A7" t="s">
        <v>3</v>
      </c>
      <c r="B7" s="4">
        <f>'inputs and results'!G7</f>
        <v>0</v>
      </c>
      <c r="C7" s="5">
        <f>DATE(B6+YEAR(B7),MONTH(B7),DAY(B7))</f>
        <v>23742</v>
      </c>
      <c r="D7">
        <f>IF(MONTH(B7)&lt;=3,0,1)</f>
        <v>0</v>
      </c>
    </row>
    <row r="8" spans="1:5" ht="13.5" thickBot="1">
      <c r="A8" t="s">
        <v>53</v>
      </c>
      <c r="B8" s="27">
        <f>'Variable information'!B5</f>
        <v>45315</v>
      </c>
      <c r="C8">
        <f>IF(MONTH(B8)&lt;=3,1,0)</f>
        <v>1</v>
      </c>
      <c r="D8" s="17">
        <f>DATE(YEAR(B8)+1-C8,4,1)</f>
        <v>45383</v>
      </c>
      <c r="E8">
        <f>IF(MONTH(D8)&lt;=3,1,0)</f>
        <v>0</v>
      </c>
    </row>
    <row r="9" spans="1:6" ht="12.75">
      <c r="A9" t="s">
        <v>58</v>
      </c>
      <c r="B9" s="2">
        <f>ROUNDDOWN((YEAR(B8)-YEAR($B$7)+(B8-DATE(YEAR(B8),MONTH($B$7),DAY($B$7)))/365),0)</f>
        <v>124</v>
      </c>
      <c r="C9" s="2"/>
      <c r="D9" s="2">
        <f>ROUNDDOWN(YEAR(D8)-YEAR($B$7)+(D8-DATE(YEAR(D8),MONTH($B$7),DAY($B$7)))/365,0)</f>
        <v>124</v>
      </c>
      <c r="F9" s="2"/>
    </row>
    <row r="10" spans="1:7" ht="12.75">
      <c r="A10" t="s">
        <v>4</v>
      </c>
      <c r="B10" s="2">
        <f>MAX(0,YEAR($C$7)-YEAR(B8)+C8+D7-1)</f>
        <v>0</v>
      </c>
      <c r="C10" s="2"/>
      <c r="D10" s="2">
        <f>MAX(0,YEAR($C$7)-YEAR(D8)+E8+D7-1)</f>
        <v>0</v>
      </c>
      <c r="G10" s="15"/>
    </row>
    <row r="11" spans="1:5" ht="12.75">
      <c r="A11" t="s">
        <v>12</v>
      </c>
      <c r="B11" s="6" t="str">
        <f>'inputs and results'!G9</f>
        <v>female</v>
      </c>
      <c r="C11" t="str">
        <f>LEFT(B11)</f>
        <v>f</v>
      </c>
      <c r="D11">
        <f>IF(C3="self+",8,IF(C11="f",5,4))</f>
        <v>8</v>
      </c>
      <c r="E11">
        <f>IF(C3="self+",7,IF(C11="f",3,2))</f>
        <v>7</v>
      </c>
    </row>
    <row r="12" spans="1:8" ht="25.5" customHeight="1">
      <c r="A12" s="11" t="s">
        <v>51</v>
      </c>
      <c r="B12" s="13"/>
      <c r="E12" s="11" t="s">
        <v>54</v>
      </c>
      <c r="H12" s="105" t="s">
        <v>94</v>
      </c>
    </row>
    <row r="13" spans="1:9" ht="12.75">
      <c r="A13" t="s">
        <v>6</v>
      </c>
      <c r="B13" s="2">
        <f>VLOOKUP(INT($B$9),'factors - nuvos'!$A$7:$H$66,$E$11)</f>
        <v>14.1</v>
      </c>
      <c r="E13" t="s">
        <v>55</v>
      </c>
      <c r="F13">
        <f>INT(G2)</f>
        <v>0</v>
      </c>
      <c r="H13" s="106" t="s">
        <v>95</v>
      </c>
      <c r="I13" s="107">
        <f>VLOOKUP(INT($D$9),'factors - nuvos'!$A$7:$H$66,$D$11)</f>
        <v>14.36</v>
      </c>
    </row>
    <row r="14" spans="1:9" ht="12.75">
      <c r="A14" t="s">
        <v>7</v>
      </c>
      <c r="B14" s="2">
        <f>VLOOKUP(INT($B$9)+1,'factors - nuvos'!$A$7:$H$66,$E$11)</f>
        <v>14.1</v>
      </c>
      <c r="E14" t="s">
        <v>59</v>
      </c>
      <c r="F14" s="2">
        <f>B9</f>
        <v>124</v>
      </c>
      <c r="G14" s="25"/>
      <c r="H14" s="106" t="s">
        <v>96</v>
      </c>
      <c r="I14" s="107">
        <f>VLOOKUP($D$10,'factors - nuvos'!$J$7:$K$57,2)</f>
        <v>1</v>
      </c>
    </row>
    <row r="15" spans="1:9" ht="12.75">
      <c r="A15" t="s">
        <v>8</v>
      </c>
      <c r="B15" s="2">
        <f>B13</f>
        <v>14.1</v>
      </c>
      <c r="C15" s="2">
        <f>ROUND(B13+(B14-B13)*(B9-INT(B9)),4)</f>
        <v>14.1</v>
      </c>
      <c r="E15" t="s">
        <v>6</v>
      </c>
      <c r="F15">
        <f>VLOOKUP(INT(F14),'factors - nuvos'!A72:E131,$F$13+2)</f>
        <v>1</v>
      </c>
      <c r="H15" s="106" t="s">
        <v>97</v>
      </c>
      <c r="I15" s="106">
        <f>I13*I14</f>
        <v>14.36</v>
      </c>
    </row>
    <row r="16" spans="1:9" ht="12.75">
      <c r="A16" t="s">
        <v>9</v>
      </c>
      <c r="B16" s="2">
        <f>VLOOKUP($B$10,'factors - nuvos'!$J$7:$K$57,2)</f>
        <v>1</v>
      </c>
      <c r="E16" t="s">
        <v>7</v>
      </c>
      <c r="F16">
        <f>VLOOKUP(INT(F14),'factors - nuvos'!A72:E131,F13+3)</f>
        <v>1</v>
      </c>
      <c r="H16" s="106" t="s">
        <v>98</v>
      </c>
      <c r="I16" s="108">
        <f>D21/I15*C2</f>
        <v>0</v>
      </c>
    </row>
    <row r="17" spans="1:6" ht="12.75">
      <c r="A17" t="s">
        <v>30</v>
      </c>
      <c r="B17" s="2">
        <f>ROUND(B15*B16,4)</f>
        <v>14.1</v>
      </c>
      <c r="E17" t="s">
        <v>8</v>
      </c>
      <c r="F17" s="2">
        <f>ROUND(F15+(F16-F15)*(G2-INT(G2)),4)</f>
        <v>1</v>
      </c>
    </row>
    <row r="18" spans="1:3" ht="12.75">
      <c r="A18" t="s">
        <v>10</v>
      </c>
      <c r="B18" s="18">
        <f>F17</f>
        <v>1</v>
      </c>
      <c r="C18" s="15"/>
    </row>
    <row r="19" spans="1:2" ht="12.75">
      <c r="A19" t="s">
        <v>11</v>
      </c>
      <c r="B19" s="2">
        <f>ROUND(B17*B18,4)</f>
        <v>14.1</v>
      </c>
    </row>
    <row r="20" ht="12.75">
      <c r="H20" t="s">
        <v>31</v>
      </c>
    </row>
    <row r="21" spans="1:9" ht="12.75">
      <c r="A21" t="s">
        <v>13</v>
      </c>
      <c r="B21" s="8">
        <f>IF(D2="periodicals",'inputs and results'!G17,0)</f>
        <v>0</v>
      </c>
      <c r="C21" t="s">
        <v>14</v>
      </c>
      <c r="D21" s="7">
        <f>B21*12</f>
        <v>0</v>
      </c>
      <c r="E21" s="109">
        <f>I16</f>
        <v>0</v>
      </c>
      <c r="F21" t="s">
        <v>15</v>
      </c>
      <c r="H21" s="16">
        <f>G3/(12*D22)</f>
        <v>10770</v>
      </c>
      <c r="I21" t="s">
        <v>14</v>
      </c>
    </row>
    <row r="22" spans="2:5" ht="12.75">
      <c r="B22" s="10">
        <f>C2</f>
        <v>1</v>
      </c>
      <c r="C22" t="s">
        <v>22</v>
      </c>
      <c r="D22" s="12">
        <f>VLOOKUP(B22,A34:G83,7)</f>
        <v>0.06963788300835655</v>
      </c>
      <c r="E22" s="7"/>
    </row>
    <row r="23" spans="2:9" ht="12.75">
      <c r="B23" s="8">
        <f>IF(D2="LS",'inputs and results'!G17,0)</f>
        <v>0</v>
      </c>
      <c r="C23" t="s">
        <v>16</v>
      </c>
      <c r="D23" s="7"/>
      <c r="E23" s="20">
        <f>B23/B19</f>
        <v>0</v>
      </c>
      <c r="F23" t="s">
        <v>15</v>
      </c>
      <c r="H23" s="16">
        <f>G3*B19</f>
        <v>126900</v>
      </c>
      <c r="I23" t="s">
        <v>27</v>
      </c>
    </row>
    <row r="24" spans="2:8" ht="12.75">
      <c r="B24" s="7"/>
      <c r="H24" s="16"/>
    </row>
    <row r="25" spans="1:9" ht="12.75">
      <c r="A25" t="s">
        <v>28</v>
      </c>
      <c r="B25" s="8">
        <f>IF(D2="LS",'inputs and results'!G19,0)</f>
        <v>0</v>
      </c>
      <c r="C25" t="s">
        <v>17</v>
      </c>
      <c r="E25" s="20">
        <f>B25*B19</f>
        <v>0</v>
      </c>
      <c r="F25" t="s">
        <v>16</v>
      </c>
      <c r="H25" s="16">
        <f>G3</f>
        <v>9000</v>
      </c>
      <c r="I25" t="s">
        <v>56</v>
      </c>
    </row>
    <row r="26" spans="1:8" ht="12.75">
      <c r="A26" s="9" t="s">
        <v>29</v>
      </c>
      <c r="B26" s="8">
        <f>IF(D2="periodicals",'inputs and results'!G19,0)</f>
        <v>0</v>
      </c>
      <c r="C26" t="s">
        <v>17</v>
      </c>
      <c r="E26" s="20">
        <f>B26/(D22*12)</f>
        <v>0</v>
      </c>
      <c r="F26" t="s">
        <v>14</v>
      </c>
      <c r="H26" s="16">
        <f>G3</f>
        <v>9000</v>
      </c>
    </row>
    <row r="27" spans="1:8" ht="12.75">
      <c r="A27" s="9"/>
      <c r="B27" s="19"/>
      <c r="E27" s="7"/>
      <c r="H27" s="16"/>
    </row>
    <row r="28" spans="1:8" ht="12.75">
      <c r="A28" s="9" t="s">
        <v>57</v>
      </c>
      <c r="B28" s="20">
        <f>IF(AND(D2="LS",B4="savings"),E23,IF(AND(D2="periodicals",B4="savings"),E21,IF(D2="LS",E25,E26)))</f>
        <v>0</v>
      </c>
      <c r="D28" t="s">
        <v>31</v>
      </c>
      <c r="E28" s="20">
        <f>INDEX(H21:H26,MATCH(B28,E21:E26,0))</f>
        <v>10770</v>
      </c>
      <c r="F28" s="20">
        <f>INDEX(B21:B26,MATCH(B28,E21:E26,0))</f>
        <v>0</v>
      </c>
      <c r="H28" s="16"/>
    </row>
    <row r="29" spans="1:8" ht="12.75">
      <c r="A29" s="9">
        <f>IF(F28&gt;E28,"The maximum contribution you can pay is "&amp;TEXT(E28,"£#,###.00")&amp;"","")</f>
      </c>
      <c r="B29" s="19"/>
      <c r="E29" s="7"/>
      <c r="H29" s="16"/>
    </row>
    <row r="30" spans="1:8" ht="12.75">
      <c r="A30" s="119">
        <f>IF(B2="monthly contributions",(IF(C2&gt;D10,"These contributions take you beyond age 65","")),"")</f>
      </c>
      <c r="B30" s="19"/>
      <c r="E30" s="7"/>
      <c r="H30" s="16"/>
    </row>
    <row r="31" ht="12.75">
      <c r="E31" s="7"/>
    </row>
    <row r="32" ht="12.75">
      <c r="A32" s="11" t="s">
        <v>50</v>
      </c>
    </row>
    <row r="33" spans="1:7" ht="12.75">
      <c r="A33" t="s">
        <v>18</v>
      </c>
      <c r="B33" t="s">
        <v>6</v>
      </c>
      <c r="C33" t="s">
        <v>7</v>
      </c>
      <c r="D33" t="s">
        <v>20</v>
      </c>
      <c r="E33" t="s">
        <v>19</v>
      </c>
      <c r="F33" t="s">
        <v>21</v>
      </c>
      <c r="G33" t="s">
        <v>23</v>
      </c>
    </row>
    <row r="34" spans="1:8" ht="12.75">
      <c r="A34">
        <v>1</v>
      </c>
      <c r="B34" s="2">
        <f>VLOOKUP(INT($D$9),'factors - nuvos'!$A$7:$H$66,$D$11)</f>
        <v>14.36</v>
      </c>
      <c r="C34" s="2">
        <f>VLOOKUP(INT($D$9)+1,'factors - nuvos'!$A$7:$H$66,$D$11)</f>
        <v>14.36</v>
      </c>
      <c r="D34" s="2">
        <f>ROUND(B34+(C34-B34)*($B$9-INT($B$9)),4)</f>
        <v>14.36</v>
      </c>
      <c r="E34" s="2">
        <f>VLOOKUP($D$10,'factors - nuvos'!$J$7:$K$57,2)</f>
        <v>1</v>
      </c>
      <c r="F34" s="2">
        <f>E34*D34</f>
        <v>14.36</v>
      </c>
      <c r="G34" s="2">
        <f>1/F34</f>
        <v>0.06963788300835655</v>
      </c>
      <c r="H34" s="2"/>
    </row>
    <row r="35" spans="1:7" ht="12.75">
      <c r="A35">
        <v>2</v>
      </c>
      <c r="B35" s="2">
        <f>VLOOKUP(INT($D$9+A35-1),'factors - nuvos'!$A$7:$H$66,$D$11)</f>
        <v>14.36</v>
      </c>
      <c r="C35" s="2">
        <f>VLOOKUP(INT($D$9)+A35,'factors - nuvos'!$A$7:$H$66,$D$11)</f>
        <v>14.36</v>
      </c>
      <c r="D35" s="2">
        <f>ROUND(B35+(C35-B35)*($B$9-INT($B$9)),4)</f>
        <v>14.36</v>
      </c>
      <c r="E35" s="2">
        <f>VLOOKUP(MAX(1,$D$10+1-A35),'factors - nuvos'!$J$7:$K$57,2)</f>
        <v>1</v>
      </c>
      <c r="F35" s="2">
        <f>E35*D35</f>
        <v>14.36</v>
      </c>
      <c r="G35" s="2">
        <f>G34+1/F35</f>
        <v>0.1392757660167131</v>
      </c>
    </row>
    <row r="36" spans="1:7" ht="12.75">
      <c r="A36">
        <v>3</v>
      </c>
      <c r="B36" s="2">
        <f>VLOOKUP(INT($D$9+A36-1),'factors - nuvos'!$A$7:$H$66,$D$11)</f>
        <v>14.36</v>
      </c>
      <c r="C36" s="2">
        <f>VLOOKUP(INT($D$9)+A36,'factors - nuvos'!$A$7:$H$66,$D$11)</f>
        <v>14.36</v>
      </c>
      <c r="D36" s="2">
        <f aca="true" t="shared" si="0" ref="D36:D63">ROUND(B36+(C36-B36)*($B$9-INT($B$9)),4)</f>
        <v>14.36</v>
      </c>
      <c r="E36" s="2">
        <f>VLOOKUP(MAX(1,$D$10+1-A36),'factors - nuvos'!$J$7:$K$57,2)</f>
        <v>1</v>
      </c>
      <c r="F36" s="2">
        <f aca="true" t="shared" si="1" ref="F36:F63">E36*D36</f>
        <v>14.36</v>
      </c>
      <c r="G36" s="2">
        <f aca="true" t="shared" si="2" ref="G36:G63">G35+1/F36</f>
        <v>0.20891364902506965</v>
      </c>
    </row>
    <row r="37" spans="1:7" ht="12.75">
      <c r="A37">
        <v>4</v>
      </c>
      <c r="B37" s="2">
        <f>VLOOKUP(INT($D$9+A37-1),'factors - nuvos'!$A$7:$H$66,$D$11)</f>
        <v>14.36</v>
      </c>
      <c r="C37" s="2">
        <f>VLOOKUP(INT($D$9)+A37,'factors - nuvos'!$A$7:$H$66,$D$11)</f>
        <v>14.36</v>
      </c>
      <c r="D37" s="2">
        <f t="shared" si="0"/>
        <v>14.36</v>
      </c>
      <c r="E37" s="2">
        <f>VLOOKUP(MAX(1,$D$10+1-A37),'factors - nuvos'!$J$7:$K$57,2)</f>
        <v>1</v>
      </c>
      <c r="F37" s="2">
        <f t="shared" si="1"/>
        <v>14.36</v>
      </c>
      <c r="G37" s="2">
        <f t="shared" si="2"/>
        <v>0.2785515320334262</v>
      </c>
    </row>
    <row r="38" spans="1:7" ht="12.75">
      <c r="A38">
        <v>5</v>
      </c>
      <c r="B38" s="2">
        <f>VLOOKUP(INT($D$9+A38-1),'factors - nuvos'!$A$7:$H$66,$D$11)</f>
        <v>14.36</v>
      </c>
      <c r="C38" s="2">
        <f>VLOOKUP(INT($D$9)+A38,'factors - nuvos'!$A$7:$H$66,$D$11)</f>
        <v>14.36</v>
      </c>
      <c r="D38" s="2">
        <f t="shared" si="0"/>
        <v>14.36</v>
      </c>
      <c r="E38" s="2">
        <f>VLOOKUP(MAX(1,$D$10+1-A38),'factors - nuvos'!$J$7:$K$57,2)</f>
        <v>1</v>
      </c>
      <c r="F38" s="2">
        <f t="shared" si="1"/>
        <v>14.36</v>
      </c>
      <c r="G38" s="2">
        <f t="shared" si="2"/>
        <v>0.34818941504178275</v>
      </c>
    </row>
    <row r="39" spans="1:7" ht="12.75">
      <c r="A39">
        <v>6</v>
      </c>
      <c r="B39" s="2">
        <f>VLOOKUP(INT($D$9+A39-1),'factors - nuvos'!$A$7:$H$66,$D$11)</f>
        <v>14.36</v>
      </c>
      <c r="C39" s="2">
        <f>VLOOKUP(INT($D$9)+A39,'factors - nuvos'!$A$7:$H$66,$D$11)</f>
        <v>14.36</v>
      </c>
      <c r="D39" s="2">
        <f t="shared" si="0"/>
        <v>14.36</v>
      </c>
      <c r="E39" s="2">
        <f>VLOOKUP(MAX(1,$D$10+1-A39),'factors - nuvos'!$J$7:$K$57,2)</f>
        <v>1</v>
      </c>
      <c r="F39" s="2">
        <f t="shared" si="1"/>
        <v>14.36</v>
      </c>
      <c r="G39" s="2">
        <f t="shared" si="2"/>
        <v>0.4178272980501393</v>
      </c>
    </row>
    <row r="40" spans="1:7" ht="12.75">
      <c r="A40">
        <v>7</v>
      </c>
      <c r="B40" s="2">
        <f>VLOOKUP(INT($D$9+A40-1),'factors - nuvos'!$A$7:$H$66,$D$11)</f>
        <v>14.36</v>
      </c>
      <c r="C40" s="2">
        <f>VLOOKUP(INT($D$9)+A40,'factors - nuvos'!$A$7:$H$66,$D$11)</f>
        <v>14.36</v>
      </c>
      <c r="D40" s="2">
        <f t="shared" si="0"/>
        <v>14.36</v>
      </c>
      <c r="E40" s="2">
        <f>VLOOKUP(MAX(1,$D$10+1-A40),'factors - nuvos'!$J$7:$K$57,2)</f>
        <v>1</v>
      </c>
      <c r="F40" s="2">
        <f t="shared" si="1"/>
        <v>14.36</v>
      </c>
      <c r="G40" s="2">
        <f t="shared" si="2"/>
        <v>0.48746518105849584</v>
      </c>
    </row>
    <row r="41" spans="1:7" ht="12.75">
      <c r="A41">
        <v>8</v>
      </c>
      <c r="B41" s="2">
        <f>VLOOKUP(INT($D$9+A41-1),'factors - nuvos'!$A$7:$H$66,$D$11)</f>
        <v>14.36</v>
      </c>
      <c r="C41" s="2">
        <f>VLOOKUP(INT($D$9)+A41,'factors - nuvos'!$A$7:$H$66,$D$11)</f>
        <v>14.36</v>
      </c>
      <c r="D41" s="2">
        <f t="shared" si="0"/>
        <v>14.36</v>
      </c>
      <c r="E41" s="2">
        <f>VLOOKUP(MAX(1,$D$10+1-A41),'factors - nuvos'!$J$7:$K$57,2)</f>
        <v>1</v>
      </c>
      <c r="F41" s="2">
        <f t="shared" si="1"/>
        <v>14.36</v>
      </c>
      <c r="G41" s="2">
        <f t="shared" si="2"/>
        <v>0.5571030640668524</v>
      </c>
    </row>
    <row r="42" spans="1:7" ht="12.75">
      <c r="A42">
        <v>9</v>
      </c>
      <c r="B42" s="2">
        <f>VLOOKUP(INT($D$9+A42-1),'factors - nuvos'!$A$7:$H$66,$D$11)</f>
        <v>14.36</v>
      </c>
      <c r="C42" s="2">
        <f>VLOOKUP(INT($D$9)+A42,'factors - nuvos'!$A$7:$H$66,$D$11)</f>
        <v>14.36</v>
      </c>
      <c r="D42" s="2">
        <f t="shared" si="0"/>
        <v>14.36</v>
      </c>
      <c r="E42" s="2">
        <f>VLOOKUP(MAX(1,$D$10+1-A42),'factors - nuvos'!$J$7:$K$57,2)</f>
        <v>1</v>
      </c>
      <c r="F42" s="2">
        <f t="shared" si="1"/>
        <v>14.36</v>
      </c>
      <c r="G42" s="2">
        <f t="shared" si="2"/>
        <v>0.626740947075209</v>
      </c>
    </row>
    <row r="43" spans="1:7" ht="12.75">
      <c r="A43">
        <v>10</v>
      </c>
      <c r="B43" s="2">
        <f>VLOOKUP(INT($D$9+A43-1),'factors - nuvos'!$A$7:$H$66,$D$11)</f>
        <v>14.36</v>
      </c>
      <c r="C43" s="2">
        <f>VLOOKUP(INT($D$9)+A43,'factors - nuvos'!$A$7:$H$66,$D$11)</f>
        <v>14.36</v>
      </c>
      <c r="D43" s="2">
        <f t="shared" si="0"/>
        <v>14.36</v>
      </c>
      <c r="E43" s="2">
        <f>VLOOKUP(MAX(1,$D$10+1-A43),'factors - nuvos'!$J$7:$K$57,2)</f>
        <v>1</v>
      </c>
      <c r="F43" s="2">
        <f t="shared" si="1"/>
        <v>14.36</v>
      </c>
      <c r="G43" s="2">
        <f t="shared" si="2"/>
        <v>0.6963788300835656</v>
      </c>
    </row>
    <row r="44" spans="1:7" ht="12.75">
      <c r="A44">
        <v>11</v>
      </c>
      <c r="B44" s="2">
        <f>VLOOKUP(INT($D$9+A44-1),'factors - nuvos'!$A$7:$H$66,$D$11)</f>
        <v>14.36</v>
      </c>
      <c r="C44" s="2">
        <f>VLOOKUP(INT($D$9)+A44,'factors - nuvos'!$A$7:$H$66,$D$11)</f>
        <v>14.36</v>
      </c>
      <c r="D44" s="2">
        <f t="shared" si="0"/>
        <v>14.36</v>
      </c>
      <c r="E44" s="2">
        <f>VLOOKUP(MAX(1,$D$10+1-A44),'factors - nuvos'!$J$7:$K$57,2)</f>
        <v>1</v>
      </c>
      <c r="F44" s="2">
        <f t="shared" si="1"/>
        <v>14.36</v>
      </c>
      <c r="G44" s="2">
        <f t="shared" si="2"/>
        <v>0.7660167130919222</v>
      </c>
    </row>
    <row r="45" spans="1:7" ht="12.75">
      <c r="A45">
        <v>12</v>
      </c>
      <c r="B45" s="2">
        <f>VLOOKUP(INT($D$9+A45-1),'factors - nuvos'!$A$7:$H$66,$D$11)</f>
        <v>14.36</v>
      </c>
      <c r="C45" s="2">
        <f>VLOOKUP(INT($D$9)+A45,'factors - nuvos'!$A$7:$H$66,$D$11)</f>
        <v>14.36</v>
      </c>
      <c r="D45" s="2">
        <f t="shared" si="0"/>
        <v>14.36</v>
      </c>
      <c r="E45" s="2">
        <f>VLOOKUP(MAX(1,$D$10+1-A45),'factors - nuvos'!$J$7:$K$57,2)</f>
        <v>1</v>
      </c>
      <c r="F45" s="2">
        <f t="shared" si="1"/>
        <v>14.36</v>
      </c>
      <c r="G45" s="2">
        <f t="shared" si="2"/>
        <v>0.8356545961002788</v>
      </c>
    </row>
    <row r="46" spans="1:7" ht="12.75">
      <c r="A46">
        <v>13</v>
      </c>
      <c r="B46" s="2">
        <f>VLOOKUP(INT($D$9+A46-1),'factors - nuvos'!$A$7:$H$66,$D$11)</f>
        <v>14.36</v>
      </c>
      <c r="C46" s="2">
        <f>VLOOKUP(INT($D$9)+A46,'factors - nuvos'!$A$7:$H$66,$D$11)</f>
        <v>14.36</v>
      </c>
      <c r="D46" s="2">
        <f t="shared" si="0"/>
        <v>14.36</v>
      </c>
      <c r="E46" s="2">
        <f>VLOOKUP(MAX(1,$D$10+1-A46),'factors - nuvos'!$J$7:$K$57,2)</f>
        <v>1</v>
      </c>
      <c r="F46" s="2">
        <f t="shared" si="1"/>
        <v>14.36</v>
      </c>
      <c r="G46" s="2">
        <f t="shared" si="2"/>
        <v>0.9052924791086354</v>
      </c>
    </row>
    <row r="47" spans="1:7" ht="12.75">
      <c r="A47">
        <v>14</v>
      </c>
      <c r="B47" s="2">
        <f>VLOOKUP(INT($D$9+A47-1),'factors - nuvos'!$A$7:$H$66,$D$11)</f>
        <v>14.36</v>
      </c>
      <c r="C47" s="2">
        <f>VLOOKUP(INT($D$9)+A47,'factors - nuvos'!$A$7:$H$66,$D$11)</f>
        <v>14.36</v>
      </c>
      <c r="D47" s="2">
        <f t="shared" si="0"/>
        <v>14.36</v>
      </c>
      <c r="E47" s="2">
        <f>VLOOKUP(MAX(1,$D$10+1-A47),'factors - nuvos'!$J$7:$K$57,2)</f>
        <v>1</v>
      </c>
      <c r="F47" s="2">
        <f t="shared" si="1"/>
        <v>14.36</v>
      </c>
      <c r="G47" s="2">
        <f t="shared" si="2"/>
        <v>0.974930362116992</v>
      </c>
    </row>
    <row r="48" spans="1:7" ht="12.75">
      <c r="A48">
        <v>15</v>
      </c>
      <c r="B48" s="2">
        <f>VLOOKUP(INT($D$9+A48-1),'factors - nuvos'!$A$7:$H$66,$D$11)</f>
        <v>14.36</v>
      </c>
      <c r="C48" s="2">
        <f>VLOOKUP(INT($D$9)+A48,'factors - nuvos'!$A$7:$H$66,$D$11)</f>
        <v>14.36</v>
      </c>
      <c r="D48" s="2">
        <f t="shared" si="0"/>
        <v>14.36</v>
      </c>
      <c r="E48" s="2">
        <f>VLOOKUP(MAX(1,$D$10+1-A48),'factors - nuvos'!$J$7:$K$57,2)</f>
        <v>1</v>
      </c>
      <c r="F48" s="2">
        <f t="shared" si="1"/>
        <v>14.36</v>
      </c>
      <c r="G48" s="2">
        <f t="shared" si="2"/>
        <v>1.0445682451253486</v>
      </c>
    </row>
    <row r="49" spans="1:7" ht="12.75">
      <c r="A49">
        <v>16</v>
      </c>
      <c r="B49" s="2">
        <f>VLOOKUP(INT($D$9+A49-1),'factors - nuvos'!$A$7:$H$66,$D$11)</f>
        <v>14.36</v>
      </c>
      <c r="C49" s="2">
        <f>VLOOKUP(INT($D$9)+A49,'factors - nuvos'!$A$7:$H$66,$D$11)</f>
        <v>14.36</v>
      </c>
      <c r="D49" s="2">
        <f t="shared" si="0"/>
        <v>14.36</v>
      </c>
      <c r="E49" s="2">
        <f>VLOOKUP(MAX(1,$D$10+1-A49),'factors - nuvos'!$J$7:$K$57,2)</f>
        <v>1</v>
      </c>
      <c r="F49" s="2">
        <f t="shared" si="1"/>
        <v>14.36</v>
      </c>
      <c r="G49" s="2">
        <f t="shared" si="2"/>
        <v>1.1142061281337052</v>
      </c>
    </row>
    <row r="50" spans="1:7" ht="12.75">
      <c r="A50">
        <v>17</v>
      </c>
      <c r="B50" s="2">
        <f>VLOOKUP(INT($D$9+A50-1),'factors - nuvos'!$A$7:$H$66,$D$11)</f>
        <v>14.36</v>
      </c>
      <c r="C50" s="2">
        <f>VLOOKUP(INT($D$9)+A50,'factors - nuvos'!$A$7:$H$66,$D$11)</f>
        <v>14.36</v>
      </c>
      <c r="D50" s="2">
        <f t="shared" si="0"/>
        <v>14.36</v>
      </c>
      <c r="E50" s="2">
        <f>VLOOKUP(MAX(1,$D$10+1-A50),'factors - nuvos'!$J$7:$K$57,2)</f>
        <v>1</v>
      </c>
      <c r="F50" s="2">
        <f t="shared" si="1"/>
        <v>14.36</v>
      </c>
      <c r="G50" s="2">
        <f t="shared" si="2"/>
        <v>1.1838440111420618</v>
      </c>
    </row>
    <row r="51" spans="1:7" ht="12.75">
      <c r="A51">
        <v>18</v>
      </c>
      <c r="B51" s="2">
        <f>VLOOKUP(INT($D$9+A51-1),'factors - nuvos'!$A$7:$H$66,$D$11)</f>
        <v>14.36</v>
      </c>
      <c r="C51" s="2">
        <f>VLOOKUP(INT($D$9)+A51,'factors - nuvos'!$A$7:$H$66,$D$11)</f>
        <v>14.36</v>
      </c>
      <c r="D51" s="2">
        <f t="shared" si="0"/>
        <v>14.36</v>
      </c>
      <c r="E51" s="2">
        <f>VLOOKUP(MAX(1,$D$10+1-A51),'factors - nuvos'!$J$7:$K$57,2)</f>
        <v>1</v>
      </c>
      <c r="F51" s="2">
        <f t="shared" si="1"/>
        <v>14.36</v>
      </c>
      <c r="G51" s="2">
        <f t="shared" si="2"/>
        <v>1.2534818941504184</v>
      </c>
    </row>
    <row r="52" spans="1:7" ht="12.75">
      <c r="A52">
        <v>19</v>
      </c>
      <c r="B52" s="2">
        <f>VLOOKUP(INT($D$9+A52-1),'factors - nuvos'!$A$7:$H$66,$D$11)</f>
        <v>14.36</v>
      </c>
      <c r="C52" s="2">
        <f>VLOOKUP(INT($D$9)+A52,'factors - nuvos'!$A$7:$H$66,$D$11)</f>
        <v>14.36</v>
      </c>
      <c r="D52" s="2">
        <f t="shared" si="0"/>
        <v>14.36</v>
      </c>
      <c r="E52" s="2">
        <f>VLOOKUP(MAX(1,$D$10+1-A52),'factors - nuvos'!$J$7:$K$57,2)</f>
        <v>1</v>
      </c>
      <c r="F52" s="2">
        <f t="shared" si="1"/>
        <v>14.36</v>
      </c>
      <c r="G52" s="2">
        <f t="shared" si="2"/>
        <v>1.323119777158775</v>
      </c>
    </row>
    <row r="53" spans="1:7" ht="12.75">
      <c r="A53">
        <v>20</v>
      </c>
      <c r="B53" s="2">
        <f>VLOOKUP(INT($D$9+A53-1),'factors - nuvos'!$A$7:$H$66,$D$11)</f>
        <v>14.36</v>
      </c>
      <c r="C53" s="2">
        <f>VLOOKUP(INT($D$9)+A53,'factors - nuvos'!$A$7:$H$66,$D$11)</f>
        <v>14.36</v>
      </c>
      <c r="D53" s="2">
        <f t="shared" si="0"/>
        <v>14.36</v>
      </c>
      <c r="E53" s="2">
        <f>VLOOKUP(MAX(1,$D$10+1-A53),'factors - nuvos'!$J$7:$K$57,2)</f>
        <v>1</v>
      </c>
      <c r="F53" s="2">
        <f t="shared" si="1"/>
        <v>14.36</v>
      </c>
      <c r="G53" s="2">
        <f t="shared" si="2"/>
        <v>1.3927576601671317</v>
      </c>
    </row>
    <row r="54" spans="1:7" ht="12.75">
      <c r="A54">
        <v>21</v>
      </c>
      <c r="B54" s="2">
        <f>VLOOKUP(INT($D$9+A54-1),'factors - nuvos'!$A$7:$H$66,$D$11)</f>
        <v>14.36</v>
      </c>
      <c r="C54" s="2">
        <f>VLOOKUP(INT($D$9)+A54,'factors - nuvos'!$A$7:$H$66,$D$11)</f>
        <v>14.36</v>
      </c>
      <c r="D54" s="2">
        <f t="shared" si="0"/>
        <v>14.36</v>
      </c>
      <c r="E54" s="2">
        <f>VLOOKUP(MAX(1,$D$10+1-A54),'factors - nuvos'!$J$7:$K$57,2)</f>
        <v>1</v>
      </c>
      <c r="F54" s="2">
        <f t="shared" si="1"/>
        <v>14.36</v>
      </c>
      <c r="G54" s="2">
        <f t="shared" si="2"/>
        <v>1.4623955431754883</v>
      </c>
    </row>
    <row r="55" spans="1:7" ht="12.75">
      <c r="A55">
        <v>22</v>
      </c>
      <c r="B55" s="2">
        <f>VLOOKUP(INT($D$9+A55-1),'factors - nuvos'!$A$7:$H$66,$D$11)</f>
        <v>14.36</v>
      </c>
      <c r="C55" s="2">
        <f>VLOOKUP(INT($D$9)+A55,'factors - nuvos'!$A$7:$H$66,$D$11)</f>
        <v>14.36</v>
      </c>
      <c r="D55" s="2">
        <f t="shared" si="0"/>
        <v>14.36</v>
      </c>
      <c r="E55" s="2">
        <f>VLOOKUP(MAX(1,$D$10+1-A55),'factors - nuvos'!$J$7:$K$57,2)</f>
        <v>1</v>
      </c>
      <c r="F55" s="2">
        <f t="shared" si="1"/>
        <v>14.36</v>
      </c>
      <c r="G55" s="2">
        <f t="shared" si="2"/>
        <v>1.5320334261838449</v>
      </c>
    </row>
    <row r="56" spans="1:7" ht="12.75">
      <c r="A56">
        <v>23</v>
      </c>
      <c r="B56" s="2">
        <f>VLOOKUP(INT($D$9+A56-1),'factors - nuvos'!$A$7:$H$66,$D$11)</f>
        <v>14.36</v>
      </c>
      <c r="C56" s="2">
        <f>VLOOKUP(INT($D$9)+A56,'factors - nuvos'!$A$7:$H$66,$D$11)</f>
        <v>14.36</v>
      </c>
      <c r="D56" s="2">
        <f t="shared" si="0"/>
        <v>14.36</v>
      </c>
      <c r="E56" s="2">
        <f>VLOOKUP(MAX(1,$D$10+1-A56),'factors - nuvos'!$J$7:$K$57,2)</f>
        <v>1</v>
      </c>
      <c r="F56" s="2">
        <f t="shared" si="1"/>
        <v>14.36</v>
      </c>
      <c r="G56" s="2">
        <f t="shared" si="2"/>
        <v>1.6016713091922015</v>
      </c>
    </row>
    <row r="57" spans="1:7" ht="12.75">
      <c r="A57">
        <v>24</v>
      </c>
      <c r="B57" s="2">
        <f>VLOOKUP(INT($D$9+A57-1),'factors - nuvos'!$A$7:$H$66,$D$11)</f>
        <v>14.36</v>
      </c>
      <c r="C57" s="2">
        <f>VLOOKUP(INT($D$9)+A57,'factors - nuvos'!$A$7:$H$66,$D$11)</f>
        <v>14.36</v>
      </c>
      <c r="D57" s="2">
        <f t="shared" si="0"/>
        <v>14.36</v>
      </c>
      <c r="E57" s="2">
        <f>VLOOKUP(MAX(1,$D$10+1-A57),'factors - nuvos'!$J$7:$K$57,2)</f>
        <v>1</v>
      </c>
      <c r="F57" s="2">
        <f t="shared" si="1"/>
        <v>14.36</v>
      </c>
      <c r="G57" s="2">
        <f t="shared" si="2"/>
        <v>1.671309192200558</v>
      </c>
    </row>
    <row r="58" spans="1:7" ht="12.75">
      <c r="A58">
        <v>25</v>
      </c>
      <c r="B58" s="2">
        <f>VLOOKUP(INT($D$9+A58-1),'factors - nuvos'!$A$7:$H$66,$D$11)</f>
        <v>14.36</v>
      </c>
      <c r="C58" s="2">
        <f>VLOOKUP(INT($D$9)+A58,'factors - nuvos'!$A$7:$H$66,$D$11)</f>
        <v>14.36</v>
      </c>
      <c r="D58" s="2">
        <f t="shared" si="0"/>
        <v>14.36</v>
      </c>
      <c r="E58" s="2">
        <f>VLOOKUP(MAX(1,$D$10+1-A58),'factors - nuvos'!$J$7:$K$57,2)</f>
        <v>1</v>
      </c>
      <c r="F58" s="2">
        <f t="shared" si="1"/>
        <v>14.36</v>
      </c>
      <c r="G58" s="2">
        <f t="shared" si="2"/>
        <v>1.7409470752089147</v>
      </c>
    </row>
    <row r="59" spans="1:7" ht="12.75">
      <c r="A59">
        <v>26</v>
      </c>
      <c r="B59" s="2">
        <f>VLOOKUP(INT($D$9+A59-1),'factors - nuvos'!$A$7:$H$66,$D$11)</f>
        <v>14.36</v>
      </c>
      <c r="C59" s="2">
        <f>VLOOKUP(INT($D$9)+A59,'factors - nuvos'!$A$7:$H$66,$D$11)</f>
        <v>14.36</v>
      </c>
      <c r="D59" s="2">
        <f t="shared" si="0"/>
        <v>14.36</v>
      </c>
      <c r="E59" s="2">
        <f>VLOOKUP(MAX(1,$D$10+1-A59),'factors - nuvos'!$J$7:$K$57,2)</f>
        <v>1</v>
      </c>
      <c r="F59" s="2">
        <f t="shared" si="1"/>
        <v>14.36</v>
      </c>
      <c r="G59" s="2">
        <f t="shared" si="2"/>
        <v>1.8105849582172713</v>
      </c>
    </row>
    <row r="60" spans="1:7" ht="12.75">
      <c r="A60">
        <v>27</v>
      </c>
      <c r="B60" s="2">
        <f>VLOOKUP(INT($D$9+A60-1),'factors - nuvos'!$A$7:$H$66,$D$11)</f>
        <v>14.36</v>
      </c>
      <c r="C60" s="2">
        <f>VLOOKUP(INT($D$9)+A60,'factors - nuvos'!$A$7:$H$66,$D$11)</f>
        <v>14.36</v>
      </c>
      <c r="D60" s="2">
        <f t="shared" si="0"/>
        <v>14.36</v>
      </c>
      <c r="E60" s="2">
        <f>VLOOKUP(MAX(1,$D$10+1-A60),'factors - nuvos'!$J$7:$K$57,2)</f>
        <v>1</v>
      </c>
      <c r="F60" s="2">
        <f t="shared" si="1"/>
        <v>14.36</v>
      </c>
      <c r="G60" s="2">
        <f t="shared" si="2"/>
        <v>1.8802228412256279</v>
      </c>
    </row>
    <row r="61" spans="1:7" ht="12.75">
      <c r="A61">
        <v>28</v>
      </c>
      <c r="B61" s="2">
        <f>VLOOKUP(INT($D$9+A61-1),'factors - nuvos'!$A$7:$H$66,$D$11)</f>
        <v>14.36</v>
      </c>
      <c r="C61" s="2">
        <f>VLOOKUP(INT($D$9)+A61,'factors - nuvos'!$A$7:$H$66,$D$11)</f>
        <v>14.36</v>
      </c>
      <c r="D61" s="2">
        <f t="shared" si="0"/>
        <v>14.36</v>
      </c>
      <c r="E61" s="2">
        <f>VLOOKUP(MAX(1,$D$10+1-A61),'factors - nuvos'!$J$7:$K$57,2)</f>
        <v>1</v>
      </c>
      <c r="F61" s="2">
        <f t="shared" si="1"/>
        <v>14.36</v>
      </c>
      <c r="G61" s="2">
        <f t="shared" si="2"/>
        <v>1.9498607242339845</v>
      </c>
    </row>
    <row r="62" spans="1:7" ht="12.75">
      <c r="A62">
        <v>29</v>
      </c>
      <c r="B62" s="2">
        <f>VLOOKUP(INT($D$9+A62-1),'factors - nuvos'!$A$7:$H$66,$D$11)</f>
        <v>14.36</v>
      </c>
      <c r="C62" s="2">
        <f>VLOOKUP(INT($D$9)+A62,'factors - nuvos'!$A$7:$H$66,$D$11)</f>
        <v>14.36</v>
      </c>
      <c r="D62" s="2">
        <f t="shared" si="0"/>
        <v>14.36</v>
      </c>
      <c r="E62" s="2">
        <f>VLOOKUP(MAX(1,$D$10+1-A62),'factors - nuvos'!$J$7:$K$57,2)</f>
        <v>1</v>
      </c>
      <c r="F62" s="2">
        <f t="shared" si="1"/>
        <v>14.36</v>
      </c>
      <c r="G62" s="2">
        <f t="shared" si="2"/>
        <v>2.019498607242341</v>
      </c>
    </row>
    <row r="63" spans="1:7" ht="12.75">
      <c r="A63">
        <v>30</v>
      </c>
      <c r="B63" s="2">
        <f>VLOOKUP(INT($D$9+A63-1),'factors - nuvos'!$A$7:$H$66,$D$11)</f>
        <v>14.36</v>
      </c>
      <c r="C63" s="2">
        <f>VLOOKUP(INT($D$9)+A63,'factors - nuvos'!$A$7:$H$66,$D$11)</f>
        <v>14.36</v>
      </c>
      <c r="D63" s="2">
        <f t="shared" si="0"/>
        <v>14.36</v>
      </c>
      <c r="E63" s="2">
        <f>VLOOKUP(MAX(1,$D$10+1-A63),'factors - nuvos'!$J$7:$K$57,2)</f>
        <v>1</v>
      </c>
      <c r="F63" s="2">
        <f t="shared" si="1"/>
        <v>14.36</v>
      </c>
      <c r="G63" s="2">
        <f t="shared" si="2"/>
        <v>2.0891364902506973</v>
      </c>
    </row>
    <row r="64" spans="1:7" ht="12.75">
      <c r="A64">
        <v>31</v>
      </c>
      <c r="B64" s="2">
        <f>VLOOKUP(INT($D$9+A64-1),'factors - nuvos'!$A$7:$H$66,$D$11)</f>
        <v>14.36</v>
      </c>
      <c r="C64" s="2">
        <f>VLOOKUP(INT($D$9)+A64,'factors - nuvos'!$A$7:$H$66,$D$11)</f>
        <v>14.36</v>
      </c>
      <c r="D64" s="2">
        <f aca="true" t="shared" si="3" ref="D64:D78">ROUND(B64+(C64-B64)*($B$9-INT($B$9)),4)</f>
        <v>14.36</v>
      </c>
      <c r="E64" s="2">
        <f>VLOOKUP(MAX(1,$D$10+1-A64),'factors - nuvos'!$J$7:$K$57,2)</f>
        <v>1</v>
      </c>
      <c r="F64" s="2">
        <f aca="true" t="shared" si="4" ref="F64:F78">E64*D64</f>
        <v>14.36</v>
      </c>
      <c r="G64" s="2">
        <f aca="true" t="shared" si="5" ref="G64:G78">G63+1/F64</f>
        <v>2.1587743732590536</v>
      </c>
    </row>
    <row r="65" spans="1:7" ht="12.75">
      <c r="A65">
        <v>32</v>
      </c>
      <c r="B65" s="2">
        <f>VLOOKUP(INT($D$9+A65-1),'factors - nuvos'!$A$7:$H$66,$D$11)</f>
        <v>14.36</v>
      </c>
      <c r="C65" s="2">
        <f>VLOOKUP(INT($D$9)+A65,'factors - nuvos'!$A$7:$H$66,$D$11)</f>
        <v>14.36</v>
      </c>
      <c r="D65" s="2">
        <f t="shared" si="3"/>
        <v>14.36</v>
      </c>
      <c r="E65" s="2">
        <f>VLOOKUP(MAX(1,$D$10+1-A65),'factors - nuvos'!$J$7:$K$57,2)</f>
        <v>1</v>
      </c>
      <c r="F65" s="2">
        <f t="shared" si="4"/>
        <v>14.36</v>
      </c>
      <c r="G65" s="2">
        <f t="shared" si="5"/>
        <v>2.22841225626741</v>
      </c>
    </row>
    <row r="66" spans="1:7" ht="12.75">
      <c r="A66">
        <v>33</v>
      </c>
      <c r="B66" s="2">
        <f>VLOOKUP(INT($D$9+A66-1),'factors - nuvos'!$A$7:$H$66,$D$11)</f>
        <v>14.36</v>
      </c>
      <c r="C66" s="2">
        <f>VLOOKUP(INT($D$9)+A66,'factors - nuvos'!$A$7:$H$66,$D$11)</f>
        <v>14.36</v>
      </c>
      <c r="D66" s="2">
        <f t="shared" si="3"/>
        <v>14.36</v>
      </c>
      <c r="E66" s="2">
        <f>VLOOKUP(MAX(1,$D$10+1-A66),'factors - nuvos'!$J$7:$K$57,2)</f>
        <v>1</v>
      </c>
      <c r="F66" s="2">
        <f t="shared" si="4"/>
        <v>14.36</v>
      </c>
      <c r="G66" s="2">
        <f t="shared" si="5"/>
        <v>2.2980501392757664</v>
      </c>
    </row>
    <row r="67" spans="1:7" ht="12.75">
      <c r="A67">
        <v>34</v>
      </c>
      <c r="B67" s="2">
        <f>VLOOKUP(INT($D$9+A67-1),'factors - nuvos'!$A$7:$H$66,$D$11)</f>
        <v>14.36</v>
      </c>
      <c r="C67" s="2">
        <f>VLOOKUP(INT($D$9)+A67,'factors - nuvos'!$A$7:$H$66,$D$11)</f>
        <v>14.36</v>
      </c>
      <c r="D67" s="2">
        <f t="shared" si="3"/>
        <v>14.36</v>
      </c>
      <c r="E67" s="2">
        <f>VLOOKUP(MAX(1,$D$10+1-A67),'factors - nuvos'!$J$7:$K$57,2)</f>
        <v>1</v>
      </c>
      <c r="F67" s="2">
        <f t="shared" si="4"/>
        <v>14.36</v>
      </c>
      <c r="G67" s="2">
        <f t="shared" si="5"/>
        <v>2.367688022284123</v>
      </c>
    </row>
    <row r="68" spans="1:7" ht="12.75">
      <c r="A68">
        <v>35</v>
      </c>
      <c r="B68" s="2">
        <f>VLOOKUP(INT($D$9+A68-1),'factors - nuvos'!$A$7:$H$66,$D$11)</f>
        <v>14.36</v>
      </c>
      <c r="C68" s="2">
        <f>VLOOKUP(INT($D$9)+A68,'factors - nuvos'!$A$7:$H$66,$D$11)</f>
        <v>14.36</v>
      </c>
      <c r="D68" s="2">
        <f t="shared" si="3"/>
        <v>14.36</v>
      </c>
      <c r="E68" s="2">
        <f>VLOOKUP(MAX(1,$D$10+1-A68),'factors - nuvos'!$J$7:$K$57,2)</f>
        <v>1</v>
      </c>
      <c r="F68" s="2">
        <f t="shared" si="4"/>
        <v>14.36</v>
      </c>
      <c r="G68" s="2">
        <f t="shared" si="5"/>
        <v>2.437325905292479</v>
      </c>
    </row>
    <row r="69" spans="1:7" ht="12.75">
      <c r="A69">
        <v>36</v>
      </c>
      <c r="B69" s="2">
        <f>VLOOKUP(INT($D$9+A69-1),'factors - nuvos'!$A$7:$H$66,$D$11)</f>
        <v>14.36</v>
      </c>
      <c r="C69" s="2">
        <f>VLOOKUP(INT($D$9)+A69,'factors - nuvos'!$A$7:$H$66,$D$11)</f>
        <v>14.36</v>
      </c>
      <c r="D69" s="2">
        <f t="shared" si="3"/>
        <v>14.36</v>
      </c>
      <c r="E69" s="2">
        <f>VLOOKUP(MAX(1,$D$10+1-A69),'factors - nuvos'!$J$7:$K$57,2)</f>
        <v>1</v>
      </c>
      <c r="F69" s="2">
        <f t="shared" si="4"/>
        <v>14.36</v>
      </c>
      <c r="G69" s="2">
        <f t="shared" si="5"/>
        <v>2.5069637883008355</v>
      </c>
    </row>
    <row r="70" spans="1:7" ht="12.75">
      <c r="A70">
        <v>37</v>
      </c>
      <c r="B70" s="2">
        <f>VLOOKUP(INT($D$9+A70-1),'factors - nuvos'!$A$7:$H$66,$D$11)</f>
        <v>14.36</v>
      </c>
      <c r="C70" s="2">
        <f>VLOOKUP(INT($D$9)+A70,'factors - nuvos'!$A$7:$H$66,$D$11)</f>
        <v>14.36</v>
      </c>
      <c r="D70" s="2">
        <f t="shared" si="3"/>
        <v>14.36</v>
      </c>
      <c r="E70" s="2">
        <f>VLOOKUP(MAX(1,$D$10+1-A70),'factors - nuvos'!$J$7:$K$57,2)</f>
        <v>1</v>
      </c>
      <c r="F70" s="2">
        <f t="shared" si="4"/>
        <v>14.36</v>
      </c>
      <c r="G70" s="2">
        <f t="shared" si="5"/>
        <v>2.576601671309192</v>
      </c>
    </row>
    <row r="71" spans="1:7" ht="12.75">
      <c r="A71">
        <v>38</v>
      </c>
      <c r="B71" s="2">
        <f>VLOOKUP(INT($D$9+A71-1),'factors - nuvos'!$A$7:$H$66,$D$11)</f>
        <v>14.36</v>
      </c>
      <c r="C71" s="2">
        <f>VLOOKUP(INT($D$9)+A71,'factors - nuvos'!$A$7:$H$66,$D$11)</f>
        <v>14.36</v>
      </c>
      <c r="D71" s="2">
        <f t="shared" si="3"/>
        <v>14.36</v>
      </c>
      <c r="E71" s="2">
        <f>VLOOKUP(MAX(1,$D$10+1-A71),'factors - nuvos'!$J$7:$K$57,2)</f>
        <v>1</v>
      </c>
      <c r="F71" s="2">
        <f t="shared" si="4"/>
        <v>14.36</v>
      </c>
      <c r="G71" s="2">
        <f t="shared" si="5"/>
        <v>2.6462395543175483</v>
      </c>
    </row>
    <row r="72" spans="1:7" ht="12.75">
      <c r="A72">
        <v>39</v>
      </c>
      <c r="B72" s="2">
        <f>VLOOKUP(INT($D$9+A72-1),'factors - nuvos'!$A$7:$H$66,$D$11)</f>
        <v>14.36</v>
      </c>
      <c r="C72" s="2">
        <f>VLOOKUP(INT($D$9)+A72,'factors - nuvos'!$A$7:$H$66,$D$11)</f>
        <v>14.36</v>
      </c>
      <c r="D72" s="2">
        <f t="shared" si="3"/>
        <v>14.36</v>
      </c>
      <c r="E72" s="2">
        <f>VLOOKUP(MAX(1,$D$10+1-A72),'factors - nuvos'!$J$7:$K$57,2)</f>
        <v>1</v>
      </c>
      <c r="F72" s="2">
        <f t="shared" si="4"/>
        <v>14.36</v>
      </c>
      <c r="G72" s="2">
        <f t="shared" si="5"/>
        <v>2.7158774373259047</v>
      </c>
    </row>
    <row r="73" spans="1:7" ht="12.75">
      <c r="A73">
        <v>40</v>
      </c>
      <c r="B73" s="2">
        <f>VLOOKUP(INT($D$9+A73-1),'factors - nuvos'!$A$7:$H$66,$D$11)</f>
        <v>14.36</v>
      </c>
      <c r="C73" s="2">
        <f>VLOOKUP(INT($D$9)+A73,'factors - nuvos'!$A$7:$H$66,$D$11)</f>
        <v>14.36</v>
      </c>
      <c r="D73" s="2">
        <f t="shared" si="3"/>
        <v>14.36</v>
      </c>
      <c r="E73" s="2">
        <f>VLOOKUP(MAX(1,$D$10+1-A73),'factors - nuvos'!$J$7:$K$57,2)</f>
        <v>1</v>
      </c>
      <c r="F73" s="2">
        <f t="shared" si="4"/>
        <v>14.36</v>
      </c>
      <c r="G73" s="2">
        <f t="shared" si="5"/>
        <v>2.785515320334261</v>
      </c>
    </row>
    <row r="74" spans="1:7" ht="12.75">
      <c r="A74">
        <v>41</v>
      </c>
      <c r="B74" s="2">
        <f>VLOOKUP(INT($D$9+A74-1),'factors - nuvos'!$A$7:$H$66,$D$11)</f>
        <v>14.36</v>
      </c>
      <c r="C74" s="2">
        <f>VLOOKUP(INT($D$9)+A74,'factors - nuvos'!$A$7:$H$66,$D$11)</f>
        <v>14.36</v>
      </c>
      <c r="D74" s="2">
        <f t="shared" si="3"/>
        <v>14.36</v>
      </c>
      <c r="E74" s="2">
        <f>VLOOKUP(MAX(1,$D$10+1-A74),'factors - nuvos'!$J$7:$K$57,2)</f>
        <v>1</v>
      </c>
      <c r="F74" s="2">
        <f t="shared" si="4"/>
        <v>14.36</v>
      </c>
      <c r="G74" s="2">
        <f t="shared" si="5"/>
        <v>2.8551532033426175</v>
      </c>
    </row>
    <row r="75" spans="1:7" ht="12.75">
      <c r="A75">
        <v>42</v>
      </c>
      <c r="B75" s="2">
        <f>VLOOKUP(INT($D$9+A75-1),'factors - nuvos'!$A$7:$H$66,$D$11)</f>
        <v>14.36</v>
      </c>
      <c r="C75" s="2">
        <f>VLOOKUP(INT($D$9)+A75,'factors - nuvos'!$A$7:$H$66,$D$11)</f>
        <v>14.36</v>
      </c>
      <c r="D75" s="2">
        <f t="shared" si="3"/>
        <v>14.36</v>
      </c>
      <c r="E75" s="2">
        <f>VLOOKUP(MAX(1,$D$10+1-A75),'factors - nuvos'!$J$7:$K$57,2)</f>
        <v>1</v>
      </c>
      <c r="F75" s="2">
        <f t="shared" si="4"/>
        <v>14.36</v>
      </c>
      <c r="G75" s="2">
        <f t="shared" si="5"/>
        <v>2.924791086350974</v>
      </c>
    </row>
    <row r="76" spans="1:7" ht="12.75">
      <c r="A76">
        <v>43</v>
      </c>
      <c r="B76" s="2">
        <f>VLOOKUP(INT($D$9+A76-1),'factors - nuvos'!$A$7:$H$66,$D$11)</f>
        <v>14.36</v>
      </c>
      <c r="C76" s="2">
        <f>VLOOKUP(INT($D$9)+A76,'factors - nuvos'!$A$7:$H$66,$D$11)</f>
        <v>14.36</v>
      </c>
      <c r="D76" s="2">
        <f t="shared" si="3"/>
        <v>14.36</v>
      </c>
      <c r="E76" s="2">
        <f>VLOOKUP(MAX(1,$D$10+1-A76),'factors - nuvos'!$J$7:$K$57,2)</f>
        <v>1</v>
      </c>
      <c r="F76" s="2">
        <f t="shared" si="4"/>
        <v>14.36</v>
      </c>
      <c r="G76" s="2">
        <f t="shared" si="5"/>
        <v>2.9944289693593302</v>
      </c>
    </row>
    <row r="77" spans="1:7" ht="12.75">
      <c r="A77">
        <v>44</v>
      </c>
      <c r="B77" s="2">
        <f>VLOOKUP(INT($D$9+A77-1),'factors - nuvos'!$A$7:$H$66,$D$11)</f>
        <v>14.36</v>
      </c>
      <c r="C77" s="2">
        <f>VLOOKUP(INT($D$9)+A77,'factors - nuvos'!$A$7:$H$66,$D$11)</f>
        <v>14.36</v>
      </c>
      <c r="D77" s="2">
        <f t="shared" si="3"/>
        <v>14.36</v>
      </c>
      <c r="E77" s="2">
        <f>VLOOKUP(MAX(1,$D$10+1-A77),'factors - nuvos'!$J$7:$K$57,2)</f>
        <v>1</v>
      </c>
      <c r="F77" s="2">
        <f t="shared" si="4"/>
        <v>14.36</v>
      </c>
      <c r="G77" s="2">
        <f t="shared" si="5"/>
        <v>3.0640668523676866</v>
      </c>
    </row>
    <row r="78" spans="1:7" ht="12.75">
      <c r="A78">
        <v>45</v>
      </c>
      <c r="B78" s="2">
        <f>VLOOKUP(INT($D$9+A78-1),'factors - nuvos'!$A$7:$H$66,$D$11)</f>
        <v>14.36</v>
      </c>
      <c r="C78" s="2">
        <f>VLOOKUP(INT($D$9)+A78,'factors - nuvos'!$A$7:$H$66,$D$11)</f>
        <v>14.36</v>
      </c>
      <c r="D78" s="2">
        <f t="shared" si="3"/>
        <v>14.36</v>
      </c>
      <c r="E78" s="2">
        <f>VLOOKUP(MAX(1,$D$10+1-A78),'factors - nuvos'!$J$7:$K$57,2)</f>
        <v>1</v>
      </c>
      <c r="F78" s="2">
        <f t="shared" si="4"/>
        <v>14.36</v>
      </c>
      <c r="G78" s="2">
        <f t="shared" si="5"/>
        <v>3.133704735376043</v>
      </c>
    </row>
    <row r="79" spans="1:7" ht="12.75">
      <c r="A79">
        <v>46</v>
      </c>
      <c r="B79" s="2">
        <f>VLOOKUP(INT($D$9+A79-1),'factors - nuvos'!$A$7:$H$66,$D$11)</f>
        <v>14.36</v>
      </c>
      <c r="C79" s="2">
        <f>VLOOKUP(INT($D$9)+A79,'factors - nuvos'!$A$7:$H$66,$D$11)</f>
        <v>14.36</v>
      </c>
      <c r="D79" s="2">
        <f>ROUND(B79+(C79-B79)*($B$9-INT($B$9)),4)</f>
        <v>14.36</v>
      </c>
      <c r="E79" s="2">
        <f>VLOOKUP(MAX(1,$D$10+1-A79),'factors - nuvos'!$J$7:$K$57,2)</f>
        <v>1</v>
      </c>
      <c r="F79" s="2">
        <f>E79*D79</f>
        <v>14.36</v>
      </c>
      <c r="G79" s="2">
        <f>G78+1/F79</f>
        <v>3.2033426183843994</v>
      </c>
    </row>
    <row r="80" spans="1:7" ht="12.75">
      <c r="A80">
        <v>47</v>
      </c>
      <c r="B80" s="2">
        <f>VLOOKUP(INT($D$9+A80-1),'factors - nuvos'!$A$7:$H$66,$D$11)</f>
        <v>14.36</v>
      </c>
      <c r="C80" s="2">
        <f>VLOOKUP(INT($D$9)+A80,'factors - nuvos'!$A$7:$H$66,$D$11)</f>
        <v>14.36</v>
      </c>
      <c r="D80" s="2">
        <f>ROUND(B80+(C80-B80)*($B$9-INT($B$9)),4)</f>
        <v>14.36</v>
      </c>
      <c r="E80" s="2">
        <f>VLOOKUP(MAX(1,$D$10+1-A80),'factors - nuvos'!$J$7:$K$57,2)</f>
        <v>1</v>
      </c>
      <c r="F80" s="2">
        <f>E80*D80</f>
        <v>14.36</v>
      </c>
      <c r="G80" s="2">
        <f>G79+1/F80</f>
        <v>3.2729805013927558</v>
      </c>
    </row>
    <row r="81" spans="1:7" ht="12.75">
      <c r="A81">
        <v>48</v>
      </c>
      <c r="B81" s="2">
        <f>VLOOKUP(INT($D$9+A81-1),'factors - nuvos'!$A$7:$H$66,$D$11)</f>
        <v>14.36</v>
      </c>
      <c r="C81" s="2">
        <f>VLOOKUP(INT($D$9)+A81,'factors - nuvos'!$A$7:$H$66,$D$11)</f>
        <v>14.36</v>
      </c>
      <c r="D81" s="2">
        <f>ROUND(B81+(C81-B81)*($B$9-INT($B$9)),4)</f>
        <v>14.36</v>
      </c>
      <c r="E81" s="2">
        <f>VLOOKUP(MAX(1,$D$10+1-A81),'factors - nuvos'!$J$7:$K$57,2)</f>
        <v>1</v>
      </c>
      <c r="F81" s="2">
        <f>E81*D81</f>
        <v>14.36</v>
      </c>
      <c r="G81" s="2">
        <f>G80+1/F81</f>
        <v>3.342618384401112</v>
      </c>
    </row>
    <row r="82" spans="1:7" ht="12.75">
      <c r="A82">
        <v>49</v>
      </c>
      <c r="B82" s="2">
        <f>VLOOKUP(INT($D$9+A82-1),'factors - nuvos'!$A$7:$H$66,$D$11)</f>
        <v>14.36</v>
      </c>
      <c r="C82" s="2">
        <f>VLOOKUP(INT($D$9)+A82,'factors - nuvos'!$A$7:$H$66,$D$11)</f>
        <v>14.36</v>
      </c>
      <c r="D82" s="2">
        <f>ROUND(B82+(C82-B82)*($B$9-INT($B$9)),4)</f>
        <v>14.36</v>
      </c>
      <c r="E82" s="2">
        <f>VLOOKUP(MAX(1,$D$10+1-A82),'factors - nuvos'!$J$7:$K$57,2)</f>
        <v>1</v>
      </c>
      <c r="F82" s="2">
        <f>E82*D82</f>
        <v>14.36</v>
      </c>
      <c r="G82" s="2">
        <f>G81+1/F82</f>
        <v>3.4122562674094685</v>
      </c>
    </row>
    <row r="83" spans="1:7" ht="12.75">
      <c r="A83">
        <v>50</v>
      </c>
      <c r="B83" s="2">
        <f>VLOOKUP(INT($D$9+A83-1),'factors - nuvos'!$A$7:$H$66,$D$11)</f>
        <v>14.36</v>
      </c>
      <c r="C83" s="2">
        <f>VLOOKUP(INT($D$9)+A83,'factors - nuvos'!$A$7:$H$66,$D$11)</f>
        <v>14.36</v>
      </c>
      <c r="D83" s="2">
        <f>ROUND(B83+(C83-B83)*($B$9-INT($B$9)),4)</f>
        <v>14.36</v>
      </c>
      <c r="E83" s="2">
        <f>VLOOKUP(MAX(1,$D$10+1-A83),'factors - nuvos'!$J$7:$K$57,2)</f>
        <v>1</v>
      </c>
      <c r="F83" s="2">
        <f>E83*D83</f>
        <v>14.36</v>
      </c>
      <c r="G83" s="2">
        <f>G82+1/F83</f>
        <v>3.481894150417825</v>
      </c>
    </row>
    <row r="86" spans="1:2" ht="12.75">
      <c r="A86" t="s">
        <v>60</v>
      </c>
      <c r="B86" s="5">
        <f>IF(B2="lump sum",B8,D8)</f>
        <v>45383</v>
      </c>
    </row>
  </sheetData>
  <sheetProtection sheet="1"/>
  <printOptions/>
  <pageMargins left="0.75" right="0.75" top="1" bottom="1" header="0.5" footer="0.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Wood</dc:creator>
  <cp:keywords/>
  <dc:description/>
  <cp:lastModifiedBy>Kye Honor - JSS</cp:lastModifiedBy>
  <cp:lastPrinted>2019-02-26T10:56:34Z</cp:lastPrinted>
  <dcterms:created xsi:type="dcterms:W3CDTF">2007-03-09T16:04:42Z</dcterms:created>
  <dcterms:modified xsi:type="dcterms:W3CDTF">2024-01-24T16:51:03Z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0x010100907A70D6EDB1B44E9D48930B4C4DC06C</vt:lpwstr>
  </property>
  <property fmtid="{D5CDD505-2E9C-101B-9397-08002B2CF9AE}" pid="4" name="TaxCatchAll">
    <vt:lpwstr/>
  </property>
  <property fmtid="{D5CDD505-2E9C-101B-9397-08002B2CF9AE}" pid="5" name="lcf76f155ced4ddcb4097134ff3c332f">
    <vt:lpwstr/>
  </property>
</Properties>
</file>